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ebextensions/webextension1.xml" ContentType="application/vnd.ms-office.webextension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345" windowWidth="19425" windowHeight="10575"/>
  </bookViews>
  <sheets>
    <sheet name="Sheet1" sheetId="1" r:id="rId1"/>
    <sheet name="Sheet2" sheetId="2" r:id="rId2"/>
  </sheets>
  <definedNames>
    <definedName name="_xlnm.Print_Area" localSheetId="0">Sheet1!$A$1:$M$271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/>
  <c r="F262" l="1"/>
  <c r="F261"/>
  <c r="F271"/>
  <c r="F260"/>
  <c r="F258"/>
  <c r="E259"/>
  <c r="E258"/>
  <c r="G258" s="1"/>
  <c r="F255"/>
  <c r="A271"/>
  <c r="A270"/>
  <c r="A269"/>
  <c r="C269" s="1"/>
  <c r="A268"/>
  <c r="A267"/>
  <c r="F266"/>
  <c r="A266"/>
  <c r="C266" s="1"/>
  <c r="A265"/>
  <c r="C265" s="1"/>
  <c r="A264"/>
  <c r="C264" s="1"/>
  <c r="A261"/>
  <c r="C261" s="1"/>
  <c r="A260"/>
  <c r="C260" s="1"/>
  <c r="A258"/>
  <c r="F257"/>
  <c r="A257"/>
  <c r="C257" s="1"/>
  <c r="F244"/>
  <c r="E234"/>
  <c r="F234"/>
  <c r="E235"/>
  <c r="F230"/>
  <c r="E231"/>
  <c r="E232"/>
  <c r="E233"/>
  <c r="E230"/>
  <c r="F228"/>
  <c r="E229"/>
  <c r="E228"/>
  <c r="G228" s="1"/>
  <c r="F225"/>
  <c r="F227"/>
  <c r="A245"/>
  <c r="A244"/>
  <c r="A243"/>
  <c r="A242"/>
  <c r="C242" s="1"/>
  <c r="A241"/>
  <c r="A240"/>
  <c r="F239"/>
  <c r="A239"/>
  <c r="C239" s="1"/>
  <c r="A238"/>
  <c r="C238" s="1"/>
  <c r="A236"/>
  <c r="C236" s="1"/>
  <c r="A234"/>
  <c r="C234" s="1"/>
  <c r="A230"/>
  <c r="C230" s="1"/>
  <c r="A228"/>
  <c r="A227"/>
  <c r="C227" s="1"/>
  <c r="F201"/>
  <c r="F196"/>
  <c r="E197"/>
  <c r="E196"/>
  <c r="F194"/>
  <c r="E195"/>
  <c r="E194"/>
  <c r="E193"/>
  <c r="E192"/>
  <c r="F190"/>
  <c r="F188"/>
  <c r="E189"/>
  <c r="E188"/>
  <c r="A215"/>
  <c r="A214"/>
  <c r="A213"/>
  <c r="A212"/>
  <c r="A207"/>
  <c r="F206"/>
  <c r="A206"/>
  <c r="A204"/>
  <c r="A201"/>
  <c r="A199"/>
  <c r="A198"/>
  <c r="C198" s="1"/>
  <c r="A196"/>
  <c r="A194"/>
  <c r="F192"/>
  <c r="A192"/>
  <c r="C192" s="1"/>
  <c r="A191"/>
  <c r="C191" s="1"/>
  <c r="A190"/>
  <c r="C190" s="1"/>
  <c r="A188"/>
  <c r="C188" s="1"/>
  <c r="F187"/>
  <c r="A187"/>
  <c r="C187" s="1"/>
  <c r="G186"/>
  <c r="G187" s="1"/>
  <c r="F186"/>
  <c r="A186"/>
  <c r="F185"/>
  <c r="A185"/>
  <c r="C185" s="1"/>
  <c r="G259" l="1"/>
  <c r="G260" s="1"/>
  <c r="G261" s="1"/>
  <c r="G262" s="1"/>
  <c r="G263" s="1"/>
  <c r="G264" s="1"/>
  <c r="G265" s="1"/>
  <c r="G266" s="1"/>
  <c r="G267" s="1"/>
  <c r="G268" s="1"/>
  <c r="G269" s="1"/>
  <c r="G270" s="1"/>
  <c r="G271" s="1"/>
  <c r="G229"/>
  <c r="G230" s="1"/>
  <c r="G231" s="1"/>
  <c r="G232" s="1"/>
  <c r="G233" s="1"/>
  <c r="G234" s="1"/>
  <c r="G235" s="1"/>
  <c r="G236" s="1"/>
  <c r="G237" s="1"/>
  <c r="G238" s="1"/>
  <c r="G239" s="1"/>
  <c r="G240" s="1"/>
  <c r="G241" s="1"/>
  <c r="G242" s="1"/>
  <c r="G243" s="1"/>
  <c r="G244" s="1"/>
  <c r="G245" s="1"/>
  <c r="G246" s="1"/>
  <c r="G188"/>
  <c r="G189" l="1"/>
  <c r="G190" s="1"/>
  <c r="G191" s="1"/>
  <c r="G192" l="1"/>
  <c r="G193" s="1"/>
  <c r="G194" s="1"/>
  <c r="G195" s="1"/>
  <c r="G196" s="1"/>
  <c r="G197" s="1"/>
  <c r="G198" s="1"/>
  <c r="G199" s="1"/>
  <c r="G200" s="1"/>
  <c r="G201" s="1"/>
  <c r="G202" s="1"/>
  <c r="G203" s="1"/>
  <c r="G204" s="1"/>
  <c r="G205" s="1"/>
  <c r="G206" s="1"/>
  <c r="G207" s="1"/>
  <c r="G208" s="1"/>
  <c r="G212" s="1"/>
  <c r="G213" s="1"/>
  <c r="G214" s="1"/>
  <c r="G215" s="1"/>
  <c r="G216" s="1"/>
  <c r="A171" l="1"/>
  <c r="A172"/>
  <c r="A173"/>
  <c r="A175"/>
  <c r="F165"/>
  <c r="F164"/>
  <c r="F163"/>
  <c r="F161"/>
  <c r="E162"/>
  <c r="E161"/>
  <c r="F159"/>
  <c r="E160"/>
  <c r="E159"/>
  <c r="F158"/>
  <c r="E157"/>
  <c r="E156"/>
  <c r="F155"/>
  <c r="F154"/>
  <c r="F153"/>
  <c r="F152"/>
  <c r="F149"/>
  <c r="F115"/>
  <c r="A170"/>
  <c r="F169"/>
  <c r="A169"/>
  <c r="A167"/>
  <c r="F166"/>
  <c r="A166"/>
  <c r="A165"/>
  <c r="A163"/>
  <c r="C163" s="1"/>
  <c r="A161"/>
  <c r="A159"/>
  <c r="A158"/>
  <c r="C158" s="1"/>
  <c r="A156"/>
  <c r="C156" s="1"/>
  <c r="A155"/>
  <c r="C155" s="1"/>
  <c r="A154"/>
  <c r="C154" s="1"/>
  <c r="A153"/>
  <c r="C153" s="1"/>
  <c r="G152"/>
  <c r="G153" s="1"/>
  <c r="G154" s="1"/>
  <c r="G155" s="1"/>
  <c r="A152"/>
  <c r="C152" s="1"/>
  <c r="F151"/>
  <c r="A151"/>
  <c r="C151" s="1"/>
  <c r="F122"/>
  <c r="E123"/>
  <c r="E124"/>
  <c r="E125"/>
  <c r="E122"/>
  <c r="F118"/>
  <c r="E119"/>
  <c r="E118"/>
  <c r="G118" s="1"/>
  <c r="F117"/>
  <c r="A140"/>
  <c r="F138"/>
  <c r="A138"/>
  <c r="A137"/>
  <c r="F136"/>
  <c r="A136"/>
  <c r="F135"/>
  <c r="A135"/>
  <c r="A134"/>
  <c r="C134" s="1"/>
  <c r="A133"/>
  <c r="A132"/>
  <c r="A129"/>
  <c r="C129" s="1"/>
  <c r="A127"/>
  <c r="C127" s="1"/>
  <c r="A126"/>
  <c r="C126" s="1"/>
  <c r="A122"/>
  <c r="C122" s="1"/>
  <c r="A120"/>
  <c r="C120" s="1"/>
  <c r="A118"/>
  <c r="C118" s="1"/>
  <c r="A117"/>
  <c r="C117" s="1"/>
  <c r="G156" l="1"/>
  <c r="G157" s="1"/>
  <c r="G158" s="1"/>
  <c r="G119"/>
  <c r="G120" s="1"/>
  <c r="G121" s="1"/>
  <c r="G122" s="1"/>
  <c r="G123" s="1"/>
  <c r="G124" s="1"/>
  <c r="G125" s="1"/>
  <c r="G126" s="1"/>
  <c r="G127" s="1"/>
  <c r="G128" s="1"/>
  <c r="G129" s="1"/>
  <c r="G130" s="1"/>
  <c r="G131" s="1"/>
  <c r="G132" s="1"/>
  <c r="G133" s="1"/>
  <c r="G134" s="1"/>
  <c r="G135" s="1"/>
  <c r="G136" s="1"/>
  <c r="G137" s="1"/>
  <c r="G138" s="1"/>
  <c r="G140" s="1"/>
  <c r="A98"/>
  <c r="C98" s="1"/>
  <c r="A102"/>
  <c r="C102" s="1"/>
  <c r="A103"/>
  <c r="C103" s="1"/>
  <c r="A106"/>
  <c r="C106" s="1"/>
  <c r="F78"/>
  <c r="F76"/>
  <c r="E77"/>
  <c r="E76"/>
  <c r="F75"/>
  <c r="A97"/>
  <c r="F96"/>
  <c r="A96"/>
  <c r="A95"/>
  <c r="F94"/>
  <c r="A94"/>
  <c r="F92"/>
  <c r="A92"/>
  <c r="A90"/>
  <c r="C90" s="1"/>
  <c r="A88"/>
  <c r="A84"/>
  <c r="A81"/>
  <c r="C81" s="1"/>
  <c r="A80"/>
  <c r="C80" s="1"/>
  <c r="A79"/>
  <c r="C79" s="1"/>
  <c r="A78"/>
  <c r="C78" s="1"/>
  <c r="A76"/>
  <c r="C76" s="1"/>
  <c r="G75"/>
  <c r="A75"/>
  <c r="C75" s="1"/>
  <c r="F74"/>
  <c r="A74"/>
  <c r="C74" s="1"/>
  <c r="F43"/>
  <c r="F47"/>
  <c r="E48"/>
  <c r="E47"/>
  <c r="E45"/>
  <c r="F45"/>
  <c r="E46"/>
  <c r="E44"/>
  <c r="E43"/>
  <c r="G159" l="1"/>
  <c r="G160" s="1"/>
  <c r="G161" s="1"/>
  <c r="G76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102" s="1"/>
  <c r="G103" s="1"/>
  <c r="G104" s="1"/>
  <c r="G105" s="1"/>
  <c r="G106" s="1"/>
  <c r="A64"/>
  <c r="F63"/>
  <c r="A63"/>
  <c r="A60"/>
  <c r="F59"/>
  <c r="A59"/>
  <c r="F58"/>
  <c r="A58"/>
  <c r="A57"/>
  <c r="C57" s="1"/>
  <c r="F56"/>
  <c r="A56"/>
  <c r="A54"/>
  <c r="A53"/>
  <c r="C53" s="1"/>
  <c r="A51"/>
  <c r="C51" s="1"/>
  <c r="A49"/>
  <c r="C49" s="1"/>
  <c r="A47"/>
  <c r="C47" s="1"/>
  <c r="A45"/>
  <c r="C45" s="1"/>
  <c r="G43"/>
  <c r="G44" s="1"/>
  <c r="G45" s="1"/>
  <c r="A43"/>
  <c r="C43" s="1"/>
  <c r="F42"/>
  <c r="A42"/>
  <c r="C42" s="1"/>
  <c r="F32"/>
  <c r="A32"/>
  <c r="F31"/>
  <c r="A31"/>
  <c r="F30"/>
  <c r="A30"/>
  <c r="A28"/>
  <c r="F27"/>
  <c r="A27"/>
  <c r="F26"/>
  <c r="A26"/>
  <c r="F25"/>
  <c r="A25"/>
  <c r="F24"/>
  <c r="A24"/>
  <c r="A23"/>
  <c r="C23" s="1"/>
  <c r="F22"/>
  <c r="A22"/>
  <c r="F21"/>
  <c r="A21"/>
  <c r="A19"/>
  <c r="C19" s="1"/>
  <c r="A17"/>
  <c r="C17" s="1"/>
  <c r="F16"/>
  <c r="A16"/>
  <c r="C16" s="1"/>
  <c r="F15"/>
  <c r="A15"/>
  <c r="C15" s="1"/>
  <c r="F14"/>
  <c r="A14"/>
  <c r="C14" s="1"/>
  <c r="E13"/>
  <c r="F12"/>
  <c r="E12"/>
  <c r="G12" s="1"/>
  <c r="A12"/>
  <c r="C12" s="1"/>
  <c r="F11"/>
  <c r="A11"/>
  <c r="C11" s="1"/>
  <c r="F9"/>
  <c r="G162" l="1"/>
  <c r="G163" s="1"/>
  <c r="G46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13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164" l="1"/>
  <c r="G165" s="1"/>
  <c r="G166" s="1"/>
  <c r="G167" s="1"/>
  <c r="G168" l="1"/>
  <c r="G169" s="1"/>
  <c r="G170" s="1"/>
  <c r="G171" s="1"/>
  <c r="G172" s="1"/>
  <c r="G173" s="1"/>
  <c r="G174" s="1"/>
  <c r="G175" s="1"/>
</calcChain>
</file>

<file path=xl/sharedStrings.xml><?xml version="1.0" encoding="utf-8"?>
<sst xmlns="http://schemas.openxmlformats.org/spreadsheetml/2006/main" count="814" uniqueCount="203">
  <si>
    <t>Run (m)</t>
  </si>
  <si>
    <t>Floor Depth (m)</t>
  </si>
  <si>
    <t>RQD (%)</t>
  </si>
  <si>
    <t>Lithology</t>
  </si>
  <si>
    <t>Colour</t>
  </si>
  <si>
    <t>Structural Features</t>
  </si>
  <si>
    <t>Mineralization Details</t>
  </si>
  <si>
    <t>Remarks</t>
  </si>
  <si>
    <t xml:space="preserve">From </t>
  </si>
  <si>
    <t>To</t>
  </si>
  <si>
    <t>-</t>
  </si>
  <si>
    <t>Broken</t>
  </si>
  <si>
    <t>Broken/Fractured</t>
  </si>
  <si>
    <t>Brown</t>
  </si>
  <si>
    <t xml:space="preserve">Micaceous </t>
  </si>
  <si>
    <t>Fractured</t>
  </si>
  <si>
    <t>Particulars of detailed litholog of the boreholes drilled by MECL in Deulha Block, Tehsil- Majhgawan, District-Satna, Madhya Pradesh</t>
  </si>
  <si>
    <t>Soil (Clay &amp; sand)</t>
  </si>
  <si>
    <t>Fine to Medium grained, brown coloured sandstone intercalated with green shale</t>
  </si>
  <si>
    <t>Greenish Brown</t>
  </si>
  <si>
    <t>Weathered</t>
  </si>
  <si>
    <t xml:space="preserve">Fine to Medium grained, creamish white coloured sandstone </t>
  </si>
  <si>
    <t>Creamish White</t>
  </si>
  <si>
    <t>Chocolate coloured, laminated shale with interbeds of 
 grey shale.</t>
  </si>
  <si>
    <t>Chocolate Brown</t>
  </si>
  <si>
    <t xml:space="preserve"> Grey coloured, laminated shale with interbeds of 
 Chocolate coloured shale.</t>
  </si>
  <si>
    <t>Grey</t>
  </si>
  <si>
    <t xml:space="preserve"> Grey coloured, thin bedded to laminated shale </t>
  </si>
  <si>
    <t>Grey calcareous shale with siltstone bands</t>
  </si>
  <si>
    <t>Grey calcareous shale with siltstone bands with pyrite stringers</t>
  </si>
  <si>
    <t>Vertical fractures</t>
  </si>
  <si>
    <t>Pyrite stringers</t>
  </si>
  <si>
    <t>Fine grained, light grey, compact limestone with pyrite stringers</t>
  </si>
  <si>
    <t>Light grey</t>
  </si>
  <si>
    <t xml:space="preserve">Greyish green, fine grained, slightly ferruginous, glauconitic sandstone </t>
  </si>
  <si>
    <t>Greyish green</t>
  </si>
  <si>
    <t xml:space="preserve">Reddish green, fine grained, slightly ferruginous, glauconitic sandstone </t>
  </si>
  <si>
    <t>Reddish green</t>
  </si>
  <si>
    <t xml:space="preserve">Dark green, fine to medium grained, glauconitic sandstone </t>
  </si>
  <si>
    <t>Dark green</t>
  </si>
  <si>
    <t xml:space="preserve">Dark green, fine to medium grained, glauconitic sandstone with thin chert bands </t>
  </si>
  <si>
    <t>Dark green, fine to medium grained, glauconitic sandstone with thin chert bands and microcross beddings at few places</t>
  </si>
  <si>
    <t xml:space="preserve">Dark green, fine to medium grained, glauconitic sandstone with thin shale bands </t>
  </si>
  <si>
    <t>Grey and red coloured compact shale</t>
  </si>
  <si>
    <t>Green</t>
  </si>
  <si>
    <t>Green to dark green</t>
  </si>
  <si>
    <t>Grey and Red</t>
  </si>
  <si>
    <t xml:space="preserve">Fine grained, creamish white coloured sandstone </t>
  </si>
  <si>
    <t>Green colored shale with Fine to Medium grained with thin sandstone bands</t>
  </si>
  <si>
    <t>Fine grained, creamish white coloured sandstone/quartz arenite</t>
  </si>
  <si>
    <t xml:space="preserve"> Grey coloured, laminated, interbedded shale</t>
  </si>
  <si>
    <t>Chocolate coloured, laminated shale with interbeds of 
 grey shale</t>
  </si>
  <si>
    <t>Grey to dark grey</t>
  </si>
  <si>
    <t xml:space="preserve">Green to dark green, fine to medium grained, glauconitic sandstone </t>
  </si>
  <si>
    <t>Green to Dark green</t>
  </si>
  <si>
    <t>Reddish green, fine grained, slightly ferruginous, glauconitic sandstone with thin chert bands</t>
  </si>
  <si>
    <t xml:space="preserve"> Green coloured, fine grained, slightly ferruginous, glauconitic sandstone with thin chert bands and pyrite stringers</t>
  </si>
  <si>
    <t>Glauconite</t>
  </si>
  <si>
    <t xml:space="preserve"> Green coloured, fine grained glauconitic sandstone with thin chert bands </t>
  </si>
  <si>
    <t xml:space="preserve"> Green coloured, fine to medium grained glauconitic sandstone </t>
  </si>
  <si>
    <t xml:space="preserve"> Green coloured, fine to medium grained glauconitic sandstone with shale bands towards bottom</t>
  </si>
  <si>
    <t xml:space="preserve"> Greyish green coloured, compact, massive, calcareous shale with pyrite stringers</t>
  </si>
  <si>
    <t>Grey and red</t>
  </si>
  <si>
    <t>Grey to greyish black compact calcareous shale</t>
  </si>
  <si>
    <t>Grey to greyish black compact shale</t>
  </si>
  <si>
    <t xml:space="preserve">Fine grained, compact, greyish white sandstone </t>
  </si>
  <si>
    <t>Greyish White</t>
  </si>
  <si>
    <t>Green coloured shale</t>
  </si>
  <si>
    <t>Fine to medium grained, compact, creamish white coloured sandstone</t>
  </si>
  <si>
    <t>Green and grey coloured, interbedded shale</t>
  </si>
  <si>
    <t>Greenish grey</t>
  </si>
  <si>
    <t>Massive</t>
  </si>
  <si>
    <t>Greyish green and red coloured, interbedded shale</t>
  </si>
  <si>
    <t>Greyish green coloured, interbedded shale with thin siltstone bands</t>
  </si>
  <si>
    <t>Greyish white to cream coloured fine grained sandstone</t>
  </si>
  <si>
    <t>Green coloured shale interbedded with sandstone</t>
  </si>
  <si>
    <t xml:space="preserve">Fine grained, compact, creamish white sandstone with green shale bands </t>
  </si>
  <si>
    <t>Conglomerate zone, pebbels in green shale</t>
  </si>
  <si>
    <t>Greenish grey coloured shale</t>
  </si>
  <si>
    <t>Micaceous</t>
  </si>
  <si>
    <t xml:space="preserve">Green coloured, fine to medium grained, glauconitic sandstone </t>
  </si>
  <si>
    <t>Microcross beddings</t>
  </si>
  <si>
    <t>Green coloured, fine to medium grained, glauconitic sandstone with thin chert bands</t>
  </si>
  <si>
    <t>Reddish green, weathered shale</t>
  </si>
  <si>
    <t>Green and grey coloured shale interbedded with thin sandstone bands</t>
  </si>
  <si>
    <t>Greyish white</t>
  </si>
  <si>
    <t>Fine grained sandstone with shale band</t>
  </si>
  <si>
    <t>Grey coloured interbedded, laminated shale</t>
  </si>
  <si>
    <t>Chocolate coloured, laminated, interbedded shale</t>
  </si>
  <si>
    <t>Chocolate brown</t>
  </si>
  <si>
    <t>Highly broken/Fractured</t>
  </si>
  <si>
    <t xml:space="preserve">Vertical fractures </t>
  </si>
  <si>
    <t>Greyish brown coloured fine grained sandstone</t>
  </si>
  <si>
    <t>Green and grey coloured, interbedded, ferruginous shale</t>
  </si>
  <si>
    <t>Greyish white to cream coloured fine grained sandstone interbedded with grey shale</t>
  </si>
  <si>
    <t>Ferruginous</t>
  </si>
  <si>
    <t>Compact</t>
  </si>
  <si>
    <t>Calcareous grey colored sandy shale</t>
  </si>
  <si>
    <t>Calcareous grey colored sandy shale/siltstone</t>
  </si>
  <si>
    <t>Reddish green, fine grained, slightly ferruginous, glauconitic sandstone with thin shalebands</t>
  </si>
  <si>
    <t>Cross bedding</t>
  </si>
  <si>
    <t>Greyish white, fine grained sandstone / Quartz arenite</t>
  </si>
  <si>
    <t>Light greenish grey, fine grained sandstone</t>
  </si>
  <si>
    <t>Highly Broken, Fractured @ 30° wrt CA</t>
  </si>
  <si>
    <t>Mild Gluconitic?</t>
  </si>
  <si>
    <t>Light greenish grey, fine grained sandstone with green shale bands</t>
  </si>
  <si>
    <t xml:space="preserve">Green and grey coloured laminated interbedded shale </t>
  </si>
  <si>
    <t xml:space="preserve">Green and red coloured laminated interbedded shale </t>
  </si>
  <si>
    <t>Greenish red</t>
  </si>
  <si>
    <t>Green and grey coloured laminated interbedded shale with pyrite stringers</t>
  </si>
  <si>
    <t>Greyish white, fine grained sandstone</t>
  </si>
  <si>
    <t>Light grey coloured, interbedded shale</t>
  </si>
  <si>
    <t>Grey shale with pyrite stringers</t>
  </si>
  <si>
    <t>Grey to dark grey shale</t>
  </si>
  <si>
    <t>Green coloured, fine to medium grained, glauconitic sandstone with thin shale bands</t>
  </si>
  <si>
    <t>Reddish green, fine grained, slightly ferruginous, glauconitic sandstone with thin shale bands</t>
  </si>
  <si>
    <t>Grey &amp; red</t>
  </si>
  <si>
    <t>Brownish white, fine grained sandstone interbedded with red and green shale</t>
  </si>
  <si>
    <t>Brownish white</t>
  </si>
  <si>
    <t>Fine to medium grained, compact, greyish white sandstone</t>
  </si>
  <si>
    <t>Grey coloured, fine grained sandstone interbedded with green shale</t>
  </si>
  <si>
    <t>Green shale with grey sahle bands</t>
  </si>
  <si>
    <t>Grey shale</t>
  </si>
  <si>
    <t>Greenish grey coloured, sandy shale</t>
  </si>
  <si>
    <t>Dark grey, laminated shale</t>
  </si>
  <si>
    <t>Dark grey</t>
  </si>
  <si>
    <t>Fracture</t>
  </si>
  <si>
    <t xml:space="preserve">Fine grained, light grey, compact limestone </t>
  </si>
  <si>
    <t>Green to dark green coloured, fine to medium grained, glauconitic sandstone with thin chert bands</t>
  </si>
  <si>
    <t>Greyish green coloured, fine to medium grained, glauconitic sandstone with thin chert bands</t>
  </si>
  <si>
    <t>Cross beddings</t>
  </si>
  <si>
    <t xml:space="preserve">Green to dark green coloured, fine to medium grained, glauconitic sandstone </t>
  </si>
  <si>
    <t>Green to dark green coloured, fine to medium grained, glauconitic sandstone with thin shale bands</t>
  </si>
  <si>
    <t>Soil (Clay )</t>
  </si>
  <si>
    <t>Brownish white, fine to medium grained sandstone interbedded with red and green shale</t>
  </si>
  <si>
    <t>Red and green</t>
  </si>
  <si>
    <t>Green colored shale</t>
  </si>
  <si>
    <t xml:space="preserve">Fine grained, light grey, cherty, compact limestone </t>
  </si>
  <si>
    <t>Ferruginous, W.M</t>
  </si>
  <si>
    <t xml:space="preserve">Dark green coloured, fine to medium grained, glauconitic sandstone </t>
  </si>
  <si>
    <t>Dark green coloured, fine to medium grained, glauconitic sandstone with chert bands</t>
  </si>
  <si>
    <t xml:space="preserve">Greyish green coloured, fine to medium grained, glauconitic sandstone </t>
  </si>
  <si>
    <t>Grey coloured compact calcareous shale</t>
  </si>
  <si>
    <t>Glauconitic</t>
  </si>
  <si>
    <t xml:space="preserve"> </t>
  </si>
  <si>
    <t>Greyish white, fine grained, compact calcareous shale</t>
  </si>
  <si>
    <t>Greenish grey coloured, laminated, interbedded calcareous shale</t>
  </si>
  <si>
    <t>Date of Commencement:</t>
  </si>
  <si>
    <t>Date of Closure:</t>
  </si>
  <si>
    <t>R.L(m):</t>
  </si>
  <si>
    <t>Total Depth(m):</t>
  </si>
  <si>
    <t>336.812</t>
  </si>
  <si>
    <t>24.05.2025</t>
  </si>
  <si>
    <t>27.05.2025</t>
  </si>
  <si>
    <t>318.009</t>
  </si>
  <si>
    <t>25.05.2025</t>
  </si>
  <si>
    <t>28.05.2025</t>
  </si>
  <si>
    <t>2755341.537</t>
  </si>
  <si>
    <t>333.006</t>
  </si>
  <si>
    <t>31.05.2025</t>
  </si>
  <si>
    <t>2755561.872</t>
  </si>
  <si>
    <t>320.552</t>
  </si>
  <si>
    <t>29.05.2025</t>
  </si>
  <si>
    <t>02.06.2025</t>
  </si>
  <si>
    <t>2754874.127</t>
  </si>
  <si>
    <t>01.06.2025</t>
  </si>
  <si>
    <t>03.06.2025</t>
  </si>
  <si>
    <t>344.090</t>
  </si>
  <si>
    <t>2756235.239</t>
  </si>
  <si>
    <t>334.348</t>
  </si>
  <si>
    <t>06.06.2025</t>
  </si>
  <si>
    <t>2754616.950</t>
  </si>
  <si>
    <t>369.241</t>
  </si>
  <si>
    <t>22.06.2025</t>
  </si>
  <si>
    <t>25.06.2025</t>
  </si>
  <si>
    <t>2754398.282</t>
  </si>
  <si>
    <t>326.399</t>
  </si>
  <si>
    <t>28.06.2025</t>
  </si>
  <si>
    <t>Fracture @ 20° wrt CA</t>
  </si>
  <si>
    <t>Fracture @ 50° wrt CA</t>
  </si>
  <si>
    <t>Fracture @ 15° wrt CA at 20.20m</t>
  </si>
  <si>
    <t>Fracture @ 30° wrt CA at 25.40m</t>
  </si>
  <si>
    <t>Fracture @ 30° wrt CA at 31.30m</t>
  </si>
  <si>
    <t>Fracture @ 35° wrt CA at 35.40m</t>
  </si>
  <si>
    <t>Fracture @ 40° wrt CA at 37.20m</t>
  </si>
  <si>
    <t xml:space="preserve">Fracture @ 15° wrt CA </t>
  </si>
  <si>
    <t>Fracture @ 28° wrt CA at 12.80m</t>
  </si>
  <si>
    <t xml:space="preserve">Fracture @ 28° at 22.60 &amp;  @ 30° at 23.30wrt CA </t>
  </si>
  <si>
    <t>Northing (m) :</t>
  </si>
  <si>
    <t>Easting (m):</t>
  </si>
  <si>
    <t>Thick-ness</t>
  </si>
  <si>
    <t>Borehole No.MDLH-08</t>
  </si>
  <si>
    <t>Borehole No.MDLH-07</t>
  </si>
  <si>
    <t>Borehole No.MDLH-06</t>
  </si>
  <si>
    <t>Borehole No.MDLH-05</t>
  </si>
  <si>
    <t>Borehole No.MDLH-04</t>
  </si>
  <si>
    <t>Borehole No.MDLH-03</t>
  </si>
  <si>
    <t>Borehole No.MDLH-02</t>
  </si>
  <si>
    <t>Borehole No.MDLH-01</t>
  </si>
  <si>
    <t>Core Reco- very (%)</t>
  </si>
  <si>
    <t>Core Reco- very (m)</t>
  </si>
  <si>
    <t xml:space="preserve">Extra-polated Thick- ness (m) </t>
  </si>
  <si>
    <t>Soil (Clay &amp; Sand)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</si>
</sst>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left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E885B357-2C97-41BA-9B66-5BB08DD0298F}">
  <we:reference id="wa200005271" version="2.5.5.0" store="en-US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1"/>
  <sheetViews>
    <sheetView tabSelected="1" topLeftCell="A34" zoomScale="80" zoomScaleNormal="80" workbookViewId="0">
      <selection activeCell="I43" sqref="I43"/>
    </sheetView>
  </sheetViews>
  <sheetFormatPr defaultColWidth="8.85546875" defaultRowHeight="15"/>
  <cols>
    <col min="1" max="2" width="14.28515625" style="3" customWidth="1"/>
    <col min="3" max="3" width="9.28515625" style="3" customWidth="1"/>
    <col min="4" max="4" width="9" style="3" customWidth="1"/>
    <col min="5" max="5" width="10.5703125" style="3" customWidth="1"/>
    <col min="6" max="6" width="9.28515625" style="3" customWidth="1"/>
    <col min="7" max="7" width="9.42578125" style="3" customWidth="1"/>
    <col min="8" max="8" width="7" style="3" customWidth="1"/>
    <col min="9" max="9" width="54.85546875" style="3" customWidth="1"/>
    <col min="10" max="10" width="23" style="3" bestFit="1" customWidth="1"/>
    <col min="11" max="11" width="21.5703125" style="3" bestFit="1" customWidth="1"/>
    <col min="12" max="12" width="26.28515625" style="3" customWidth="1"/>
    <col min="13" max="13" width="15.42578125" style="3" customWidth="1"/>
    <col min="14" max="16384" width="8.85546875" style="3"/>
  </cols>
  <sheetData>
    <row r="1" spans="1:13" s="1" customFormat="1" ht="26.45" customHeight="1">
      <c r="A1" s="22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s="1" customFormat="1" ht="22.5" customHeight="1">
      <c r="A2" s="20" t="s">
        <v>198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s="4" customFormat="1">
      <c r="A3" s="4" t="s">
        <v>188</v>
      </c>
      <c r="B3" s="4">
        <v>2755094.912</v>
      </c>
      <c r="E3" s="5"/>
      <c r="I3" s="5"/>
      <c r="L3" s="4" t="s">
        <v>147</v>
      </c>
      <c r="M3" s="4" t="s">
        <v>152</v>
      </c>
    </row>
    <row r="4" spans="1:13" s="4" customFormat="1">
      <c r="A4" s="4" t="s">
        <v>189</v>
      </c>
      <c r="B4" s="4">
        <v>479477.891</v>
      </c>
      <c r="L4" s="4" t="s">
        <v>148</v>
      </c>
      <c r="M4" s="4" t="s">
        <v>153</v>
      </c>
    </row>
    <row r="5" spans="1:13" s="4" customFormat="1">
      <c r="A5" s="4" t="s">
        <v>149</v>
      </c>
      <c r="B5" s="4" t="s">
        <v>151</v>
      </c>
      <c r="E5" s="5"/>
      <c r="F5" s="5"/>
      <c r="G5" s="5"/>
      <c r="H5" s="5"/>
      <c r="I5" s="5"/>
      <c r="L5" s="4" t="s">
        <v>150</v>
      </c>
      <c r="M5" s="6">
        <v>55</v>
      </c>
    </row>
    <row r="6" spans="1:13" s="1" customFormat="1"/>
    <row r="7" spans="1:13" s="1" customFormat="1" ht="15" customHeight="1">
      <c r="A7" s="18" t="s">
        <v>0</v>
      </c>
      <c r="B7" s="18"/>
      <c r="C7" s="18"/>
      <c r="D7" s="19" t="s">
        <v>200</v>
      </c>
      <c r="E7" s="19" t="s">
        <v>201</v>
      </c>
      <c r="F7" s="19" t="s">
        <v>199</v>
      </c>
      <c r="G7" s="19" t="s">
        <v>1</v>
      </c>
      <c r="H7" s="19" t="s">
        <v>2</v>
      </c>
      <c r="I7" s="17" t="s">
        <v>3</v>
      </c>
      <c r="J7" s="17" t="s">
        <v>4</v>
      </c>
      <c r="K7" s="17" t="s">
        <v>5</v>
      </c>
      <c r="L7" s="17" t="s">
        <v>6</v>
      </c>
      <c r="M7" s="17" t="s">
        <v>7</v>
      </c>
    </row>
    <row r="8" spans="1:13" s="1" customFormat="1" ht="43.5" customHeight="1">
      <c r="A8" s="7" t="s">
        <v>8</v>
      </c>
      <c r="B8" s="7" t="s">
        <v>9</v>
      </c>
      <c r="C8" s="11" t="s">
        <v>190</v>
      </c>
      <c r="D8" s="19"/>
      <c r="E8" s="19"/>
      <c r="F8" s="19"/>
      <c r="G8" s="19"/>
      <c r="H8" s="19"/>
      <c r="I8" s="17"/>
      <c r="J8" s="17"/>
      <c r="K8" s="17"/>
      <c r="L8" s="17"/>
      <c r="M8" s="17"/>
    </row>
    <row r="9" spans="1:13" s="1" customFormat="1">
      <c r="A9" s="8">
        <v>0</v>
      </c>
      <c r="B9" s="8">
        <v>3</v>
      </c>
      <c r="C9" s="8">
        <v>0.5</v>
      </c>
      <c r="D9" s="8" t="s">
        <v>10</v>
      </c>
      <c r="E9" s="8">
        <v>0.5</v>
      </c>
      <c r="F9" s="8">
        <f>2.2/3*100</f>
        <v>73.333333333333343</v>
      </c>
      <c r="G9" s="8">
        <v>0.5</v>
      </c>
      <c r="H9" s="8">
        <v>0</v>
      </c>
      <c r="I9" s="9" t="s">
        <v>17</v>
      </c>
      <c r="J9" s="9" t="s">
        <v>13</v>
      </c>
      <c r="K9" s="9"/>
      <c r="L9" s="9"/>
      <c r="M9" s="9"/>
    </row>
    <row r="10" spans="1:13" s="1" customFormat="1" ht="30">
      <c r="A10" s="8"/>
      <c r="B10" s="8"/>
      <c r="C10" s="8"/>
      <c r="D10" s="8">
        <v>2.2000000000000002</v>
      </c>
      <c r="E10" s="8">
        <v>2.5</v>
      </c>
      <c r="F10" s="8"/>
      <c r="G10" s="8">
        <v>3</v>
      </c>
      <c r="H10" s="8"/>
      <c r="I10" s="9" t="s">
        <v>18</v>
      </c>
      <c r="J10" s="9" t="s">
        <v>19</v>
      </c>
      <c r="K10" s="9"/>
      <c r="L10" s="9"/>
      <c r="M10" s="9" t="s">
        <v>20</v>
      </c>
    </row>
    <row r="11" spans="1:13" s="1" customFormat="1" ht="30">
      <c r="A11" s="8">
        <f>B9</f>
        <v>3</v>
      </c>
      <c r="B11" s="8">
        <v>4</v>
      </c>
      <c r="C11" s="8">
        <f t="shared" ref="C11:C14" si="0">B11-A11</f>
        <v>1</v>
      </c>
      <c r="D11" s="8">
        <v>0.3</v>
      </c>
      <c r="E11" s="8">
        <v>1</v>
      </c>
      <c r="F11" s="8">
        <f>D11/E11*100</f>
        <v>30</v>
      </c>
      <c r="G11" s="8">
        <v>4</v>
      </c>
      <c r="H11" s="8">
        <v>0</v>
      </c>
      <c r="I11" s="9" t="s">
        <v>18</v>
      </c>
      <c r="J11" s="9" t="s">
        <v>19</v>
      </c>
      <c r="K11" s="9" t="s">
        <v>11</v>
      </c>
      <c r="L11" s="9"/>
      <c r="M11" s="9" t="s">
        <v>20</v>
      </c>
    </row>
    <row r="12" spans="1:13" s="1" customFormat="1" ht="30">
      <c r="A12" s="8">
        <f t="shared" ref="A12" si="1">B11</f>
        <v>4</v>
      </c>
      <c r="B12" s="8">
        <v>7</v>
      </c>
      <c r="C12" s="8">
        <f t="shared" si="0"/>
        <v>3</v>
      </c>
      <c r="D12" s="8">
        <v>0.5</v>
      </c>
      <c r="E12" s="8">
        <f>D12*3/0.7</f>
        <v>2.1428571428571428</v>
      </c>
      <c r="F12" s="8">
        <f>0.7/3*100</f>
        <v>23.333333333333332</v>
      </c>
      <c r="G12" s="8">
        <f>G11+E12</f>
        <v>6.1428571428571423</v>
      </c>
      <c r="H12" s="8">
        <v>0</v>
      </c>
      <c r="I12" s="9" t="s">
        <v>18</v>
      </c>
      <c r="J12" s="9" t="s">
        <v>19</v>
      </c>
      <c r="K12" s="9" t="s">
        <v>11</v>
      </c>
      <c r="L12" s="9"/>
      <c r="M12" s="9" t="s">
        <v>20</v>
      </c>
    </row>
    <row r="13" spans="1:13" s="1" customFormat="1">
      <c r="A13" s="8"/>
      <c r="B13" s="8"/>
      <c r="C13" s="8"/>
      <c r="D13" s="8">
        <v>0.2</v>
      </c>
      <c r="E13" s="8">
        <f>D13*3/0.7</f>
        <v>0.85714285714285732</v>
      </c>
      <c r="F13" s="8"/>
      <c r="G13" s="8">
        <f t="shared" ref="G13" si="2">G12+E13</f>
        <v>7</v>
      </c>
      <c r="H13" s="8"/>
      <c r="I13" s="9" t="s">
        <v>21</v>
      </c>
      <c r="J13" s="9" t="s">
        <v>22</v>
      </c>
      <c r="K13" s="9" t="s">
        <v>11</v>
      </c>
      <c r="L13" s="9"/>
      <c r="M13" s="9" t="s">
        <v>20</v>
      </c>
    </row>
    <row r="14" spans="1:13" s="1" customFormat="1" ht="30">
      <c r="A14" s="8">
        <f>B12</f>
        <v>7</v>
      </c>
      <c r="B14" s="8">
        <v>10</v>
      </c>
      <c r="C14" s="8">
        <f t="shared" si="0"/>
        <v>3</v>
      </c>
      <c r="D14" s="8">
        <v>1.1000000000000001</v>
      </c>
      <c r="E14" s="8">
        <v>3</v>
      </c>
      <c r="F14" s="8">
        <f>1.1/3*100</f>
        <v>36.666666666666671</v>
      </c>
      <c r="G14" s="8">
        <f>G13+E14</f>
        <v>10</v>
      </c>
      <c r="H14" s="2">
        <f>0.37/3*100</f>
        <v>12.333333333333334</v>
      </c>
      <c r="I14" s="9" t="s">
        <v>23</v>
      </c>
      <c r="J14" s="9" t="s">
        <v>24</v>
      </c>
      <c r="K14" s="9" t="s">
        <v>11</v>
      </c>
      <c r="L14" s="9"/>
      <c r="M14" s="9"/>
    </row>
    <row r="15" spans="1:13" s="1" customFormat="1" ht="30">
      <c r="A15" s="8">
        <f>B14</f>
        <v>10</v>
      </c>
      <c r="B15" s="8">
        <v>13</v>
      </c>
      <c r="C15" s="8">
        <f>B15-A15</f>
        <v>3</v>
      </c>
      <c r="D15" s="8">
        <v>1.05</v>
      </c>
      <c r="E15" s="8">
        <v>3</v>
      </c>
      <c r="F15" s="8">
        <f>1.05/3*100</f>
        <v>35</v>
      </c>
      <c r="G15" s="8">
        <f t="shared" ref="G15:G32" si="3">G14+E15</f>
        <v>13</v>
      </c>
      <c r="H15" s="8">
        <v>0</v>
      </c>
      <c r="I15" s="9" t="s">
        <v>23</v>
      </c>
      <c r="J15" s="9" t="s">
        <v>24</v>
      </c>
      <c r="K15" s="9" t="s">
        <v>11</v>
      </c>
      <c r="L15" s="9"/>
      <c r="M15" s="9"/>
    </row>
    <row r="16" spans="1:13" s="1" customFormat="1" ht="30">
      <c r="A16" s="8">
        <f>B15</f>
        <v>13</v>
      </c>
      <c r="B16" s="8">
        <v>16</v>
      </c>
      <c r="C16" s="8">
        <f>B16-A16</f>
        <v>3</v>
      </c>
      <c r="D16" s="8">
        <v>1.1200000000000001</v>
      </c>
      <c r="E16" s="8">
        <v>3</v>
      </c>
      <c r="F16" s="8">
        <f>D16/3*100</f>
        <v>37.333333333333336</v>
      </c>
      <c r="G16" s="8">
        <f t="shared" si="3"/>
        <v>16</v>
      </c>
      <c r="H16" s="8">
        <v>0</v>
      </c>
      <c r="I16" s="9" t="s">
        <v>25</v>
      </c>
      <c r="J16" s="9" t="s">
        <v>26</v>
      </c>
      <c r="K16" s="9" t="s">
        <v>11</v>
      </c>
      <c r="L16" s="9"/>
      <c r="M16" s="9"/>
    </row>
    <row r="17" spans="1:13" s="1" customFormat="1">
      <c r="A17" s="8">
        <f>B16</f>
        <v>16</v>
      </c>
      <c r="B17" s="8">
        <v>19</v>
      </c>
      <c r="C17" s="8">
        <f>B17-A17</f>
        <v>3</v>
      </c>
      <c r="D17" s="8">
        <v>1.05</v>
      </c>
      <c r="E17" s="8">
        <v>1.05</v>
      </c>
      <c r="F17" s="8">
        <v>100</v>
      </c>
      <c r="G17" s="8">
        <f t="shared" si="3"/>
        <v>17.05</v>
      </c>
      <c r="H17" s="8">
        <v>0</v>
      </c>
      <c r="I17" s="9" t="s">
        <v>27</v>
      </c>
      <c r="J17" s="9" t="s">
        <v>26</v>
      </c>
      <c r="K17" s="9"/>
      <c r="L17" s="9"/>
      <c r="M17" s="9"/>
    </row>
    <row r="18" spans="1:13" s="1" customFormat="1">
      <c r="A18" s="8"/>
      <c r="B18" s="8"/>
      <c r="C18" s="8"/>
      <c r="D18" s="8">
        <v>1.95</v>
      </c>
      <c r="E18" s="8">
        <v>1.95</v>
      </c>
      <c r="F18" s="8"/>
      <c r="G18" s="8">
        <f t="shared" si="3"/>
        <v>19</v>
      </c>
      <c r="H18" s="8"/>
      <c r="I18" s="9" t="s">
        <v>28</v>
      </c>
      <c r="J18" s="9" t="s">
        <v>26</v>
      </c>
      <c r="K18" s="9"/>
      <c r="L18" s="9"/>
      <c r="M18" s="9" t="s">
        <v>14</v>
      </c>
    </row>
    <row r="19" spans="1:13" s="1" customFormat="1" ht="30">
      <c r="A19" s="8">
        <f>B17</f>
        <v>19</v>
      </c>
      <c r="B19" s="8">
        <v>22</v>
      </c>
      <c r="C19" s="8">
        <f t="shared" ref="C19:C23" si="4">B19-A19</f>
        <v>3</v>
      </c>
      <c r="D19" s="8">
        <v>1.2</v>
      </c>
      <c r="E19" s="8">
        <v>1.2</v>
      </c>
      <c r="F19" s="8">
        <v>100</v>
      </c>
      <c r="G19" s="8">
        <f t="shared" si="3"/>
        <v>20.2</v>
      </c>
      <c r="H19" s="8">
        <v>33.26</v>
      </c>
      <c r="I19" s="9" t="s">
        <v>29</v>
      </c>
      <c r="J19" s="9" t="s">
        <v>26</v>
      </c>
      <c r="K19" s="9" t="s">
        <v>30</v>
      </c>
      <c r="L19" s="9" t="s">
        <v>31</v>
      </c>
      <c r="M19" s="9"/>
    </row>
    <row r="20" spans="1:13" s="1" customFormat="1" ht="30">
      <c r="A20" s="8"/>
      <c r="B20" s="8"/>
      <c r="C20" s="8"/>
      <c r="D20" s="8">
        <v>1.8</v>
      </c>
      <c r="E20" s="8">
        <v>1.8</v>
      </c>
      <c r="F20" s="8"/>
      <c r="G20" s="8">
        <f t="shared" si="3"/>
        <v>22</v>
      </c>
      <c r="H20" s="8"/>
      <c r="I20" s="9" t="s">
        <v>32</v>
      </c>
      <c r="J20" s="9" t="s">
        <v>33</v>
      </c>
      <c r="K20" s="9" t="s">
        <v>15</v>
      </c>
      <c r="L20" s="9" t="s">
        <v>31</v>
      </c>
      <c r="M20" s="9"/>
    </row>
    <row r="21" spans="1:13" s="1" customFormat="1" ht="30">
      <c r="A21" s="8">
        <f>B19</f>
        <v>22</v>
      </c>
      <c r="B21" s="8">
        <v>25</v>
      </c>
      <c r="C21" s="8">
        <v>3</v>
      </c>
      <c r="D21" s="8">
        <v>3</v>
      </c>
      <c r="E21" s="8">
        <v>3</v>
      </c>
      <c r="F21" s="8">
        <f t="shared" ref="F21" si="5">SUM(D21:D21)*100/3</f>
        <v>100</v>
      </c>
      <c r="G21" s="8">
        <f t="shared" si="3"/>
        <v>25</v>
      </c>
      <c r="H21" s="8">
        <v>53.33</v>
      </c>
      <c r="I21" s="9" t="s">
        <v>34</v>
      </c>
      <c r="J21" s="9" t="s">
        <v>35</v>
      </c>
      <c r="K21" s="9"/>
      <c r="L21" s="9"/>
      <c r="M21" s="9" t="s">
        <v>14</v>
      </c>
    </row>
    <row r="22" spans="1:13" s="1" customFormat="1" ht="30">
      <c r="A22" s="8">
        <f t="shared" ref="A22" si="6">B21</f>
        <v>25</v>
      </c>
      <c r="B22" s="8">
        <v>28</v>
      </c>
      <c r="C22" s="8">
        <v>3</v>
      </c>
      <c r="D22" s="8">
        <v>2.9</v>
      </c>
      <c r="E22" s="8">
        <v>3</v>
      </c>
      <c r="F22" s="8">
        <f>D22/3*100</f>
        <v>96.666666666666671</v>
      </c>
      <c r="G22" s="8">
        <f t="shared" si="3"/>
        <v>28</v>
      </c>
      <c r="H22" s="8">
        <v>62.14</v>
      </c>
      <c r="I22" s="9" t="s">
        <v>36</v>
      </c>
      <c r="J22" s="9" t="s">
        <v>37</v>
      </c>
      <c r="K22" s="9"/>
      <c r="L22" s="9"/>
      <c r="M22" s="9"/>
    </row>
    <row r="23" spans="1:13" s="1" customFormat="1" ht="18" customHeight="1">
      <c r="A23" s="8">
        <f>B22</f>
        <v>28</v>
      </c>
      <c r="B23" s="8">
        <v>31</v>
      </c>
      <c r="C23" s="8">
        <f t="shared" si="4"/>
        <v>3</v>
      </c>
      <c r="D23" s="8">
        <v>3</v>
      </c>
      <c r="E23" s="8">
        <v>3</v>
      </c>
      <c r="F23" s="8">
        <v>100</v>
      </c>
      <c r="G23" s="8">
        <f t="shared" si="3"/>
        <v>31</v>
      </c>
      <c r="H23" s="8">
        <v>72.180000000000007</v>
      </c>
      <c r="I23" s="9" t="s">
        <v>38</v>
      </c>
      <c r="J23" s="9" t="s">
        <v>39</v>
      </c>
      <c r="K23" s="9"/>
      <c r="L23" s="9"/>
      <c r="M23" s="9"/>
    </row>
    <row r="24" spans="1:13" s="1" customFormat="1" ht="29.1" customHeight="1">
      <c r="A24" s="8">
        <f>B23</f>
        <v>31</v>
      </c>
      <c r="B24" s="8">
        <v>34</v>
      </c>
      <c r="C24" s="8">
        <v>3</v>
      </c>
      <c r="D24" s="8">
        <v>3</v>
      </c>
      <c r="E24" s="8">
        <v>3</v>
      </c>
      <c r="F24" s="8">
        <f>2/2*100</f>
        <v>100</v>
      </c>
      <c r="G24" s="8">
        <f t="shared" si="3"/>
        <v>34</v>
      </c>
      <c r="H24" s="8">
        <v>62</v>
      </c>
      <c r="I24" s="9" t="s">
        <v>40</v>
      </c>
      <c r="J24" s="9" t="s">
        <v>45</v>
      </c>
      <c r="K24" s="9"/>
      <c r="L24" s="9"/>
      <c r="M24" s="9"/>
    </row>
    <row r="25" spans="1:13" s="1" customFormat="1" ht="30.75" customHeight="1">
      <c r="A25" s="8">
        <f>B24</f>
        <v>34</v>
      </c>
      <c r="B25" s="8">
        <v>37</v>
      </c>
      <c r="C25" s="8">
        <v>3</v>
      </c>
      <c r="D25" s="8">
        <v>3</v>
      </c>
      <c r="E25" s="8">
        <v>3</v>
      </c>
      <c r="F25" s="8">
        <f>SUM(D25)*100/3</f>
        <v>100</v>
      </c>
      <c r="G25" s="8">
        <f t="shared" si="3"/>
        <v>37</v>
      </c>
      <c r="H25" s="8">
        <v>56.12</v>
      </c>
      <c r="I25" s="9" t="s">
        <v>41</v>
      </c>
      <c r="J25" s="9" t="s">
        <v>45</v>
      </c>
      <c r="K25" s="9"/>
      <c r="L25" s="9"/>
      <c r="M25" s="9"/>
    </row>
    <row r="26" spans="1:13" s="1" customFormat="1" ht="22.5" customHeight="1">
      <c r="A26" s="8">
        <f t="shared" ref="A26:A32" si="7">B25</f>
        <v>37</v>
      </c>
      <c r="B26" s="8">
        <v>40</v>
      </c>
      <c r="C26" s="8">
        <v>3</v>
      </c>
      <c r="D26" s="8">
        <v>3</v>
      </c>
      <c r="E26" s="8">
        <v>3</v>
      </c>
      <c r="F26" s="8">
        <f t="shared" ref="F26:F32" si="8">SUM(D26)*100/3</f>
        <v>100</v>
      </c>
      <c r="G26" s="8">
        <f t="shared" si="3"/>
        <v>40</v>
      </c>
      <c r="H26" s="8">
        <v>61.2</v>
      </c>
      <c r="I26" s="9" t="s">
        <v>38</v>
      </c>
      <c r="J26" s="9" t="s">
        <v>45</v>
      </c>
      <c r="K26" s="9"/>
      <c r="L26" s="9"/>
      <c r="M26" s="9"/>
    </row>
    <row r="27" spans="1:13" s="1" customFormat="1" ht="32.450000000000003" customHeight="1">
      <c r="A27" s="8">
        <f t="shared" si="7"/>
        <v>40</v>
      </c>
      <c r="B27" s="8">
        <v>43</v>
      </c>
      <c r="C27" s="8">
        <v>3</v>
      </c>
      <c r="D27" s="8">
        <v>3</v>
      </c>
      <c r="E27" s="8">
        <v>3</v>
      </c>
      <c r="F27" s="8">
        <f t="shared" si="8"/>
        <v>100</v>
      </c>
      <c r="G27" s="8">
        <f t="shared" si="3"/>
        <v>43</v>
      </c>
      <c r="H27" s="8">
        <v>72.27</v>
      </c>
      <c r="I27" s="9" t="s">
        <v>42</v>
      </c>
      <c r="J27" s="9" t="s">
        <v>45</v>
      </c>
      <c r="K27" s="9"/>
      <c r="L27" s="9"/>
      <c r="M27" s="9"/>
    </row>
    <row r="28" spans="1:13" s="1" customFormat="1" ht="30" customHeight="1">
      <c r="A28" s="8">
        <f t="shared" si="7"/>
        <v>43</v>
      </c>
      <c r="B28" s="8">
        <v>46</v>
      </c>
      <c r="C28" s="8">
        <v>3</v>
      </c>
      <c r="D28" s="8">
        <v>2</v>
      </c>
      <c r="E28" s="8">
        <v>2</v>
      </c>
      <c r="F28" s="8">
        <v>100</v>
      </c>
      <c r="G28" s="8">
        <f t="shared" si="3"/>
        <v>45</v>
      </c>
      <c r="H28" s="8">
        <v>38.200000000000003</v>
      </c>
      <c r="I28" s="9" t="s">
        <v>42</v>
      </c>
      <c r="J28" s="9" t="s">
        <v>45</v>
      </c>
      <c r="K28" s="9"/>
      <c r="L28" s="9"/>
      <c r="M28" s="9"/>
    </row>
    <row r="29" spans="1:13" s="1" customFormat="1" ht="15.6" customHeight="1">
      <c r="A29" s="8"/>
      <c r="B29" s="8"/>
      <c r="C29" s="8"/>
      <c r="D29" s="8">
        <v>1</v>
      </c>
      <c r="E29" s="8">
        <v>1</v>
      </c>
      <c r="F29" s="8"/>
      <c r="G29" s="8">
        <f t="shared" si="3"/>
        <v>46</v>
      </c>
      <c r="H29" s="8"/>
      <c r="I29" s="9" t="s">
        <v>63</v>
      </c>
      <c r="J29" s="9" t="s">
        <v>26</v>
      </c>
      <c r="K29" s="9" t="s">
        <v>15</v>
      </c>
      <c r="L29" s="9"/>
      <c r="M29" s="9"/>
    </row>
    <row r="30" spans="1:13" s="1" customFormat="1" ht="15.6" customHeight="1">
      <c r="A30" s="8">
        <f>B28</f>
        <v>46</v>
      </c>
      <c r="B30" s="8">
        <v>49</v>
      </c>
      <c r="C30" s="8">
        <v>3</v>
      </c>
      <c r="D30" s="8">
        <v>3</v>
      </c>
      <c r="E30" s="8">
        <v>3</v>
      </c>
      <c r="F30" s="8">
        <f t="shared" si="8"/>
        <v>100</v>
      </c>
      <c r="G30" s="8">
        <f t="shared" si="3"/>
        <v>49</v>
      </c>
      <c r="H30" s="8">
        <v>12.22</v>
      </c>
      <c r="I30" s="9" t="s">
        <v>64</v>
      </c>
      <c r="J30" s="9" t="s">
        <v>26</v>
      </c>
      <c r="K30" s="9"/>
      <c r="L30" s="9"/>
      <c r="M30" s="9"/>
    </row>
    <row r="31" spans="1:13" s="1" customFormat="1" ht="15.6" customHeight="1">
      <c r="A31" s="8">
        <f t="shared" si="7"/>
        <v>49</v>
      </c>
      <c r="B31" s="8">
        <v>52</v>
      </c>
      <c r="C31" s="8">
        <v>3</v>
      </c>
      <c r="D31" s="8">
        <v>3</v>
      </c>
      <c r="E31" s="8">
        <v>3</v>
      </c>
      <c r="F31" s="8">
        <f t="shared" si="8"/>
        <v>100</v>
      </c>
      <c r="G31" s="8">
        <f t="shared" si="3"/>
        <v>52</v>
      </c>
      <c r="H31" s="8">
        <v>0</v>
      </c>
      <c r="I31" s="9" t="s">
        <v>43</v>
      </c>
      <c r="J31" s="9" t="s">
        <v>46</v>
      </c>
      <c r="K31" s="9"/>
      <c r="L31" s="9"/>
      <c r="M31" s="9"/>
    </row>
    <row r="32" spans="1:13" s="1" customFormat="1" ht="15.6" customHeight="1">
      <c r="A32" s="8">
        <f t="shared" si="7"/>
        <v>52</v>
      </c>
      <c r="B32" s="8">
        <v>55</v>
      </c>
      <c r="C32" s="8">
        <v>3</v>
      </c>
      <c r="D32" s="8">
        <v>3</v>
      </c>
      <c r="E32" s="8">
        <v>3</v>
      </c>
      <c r="F32" s="8">
        <f t="shared" si="8"/>
        <v>100</v>
      </c>
      <c r="G32" s="8">
        <f t="shared" si="3"/>
        <v>55</v>
      </c>
      <c r="H32" s="8">
        <v>0</v>
      </c>
      <c r="I32" s="9" t="s">
        <v>43</v>
      </c>
      <c r="J32" s="9" t="s">
        <v>46</v>
      </c>
      <c r="K32" s="9"/>
      <c r="L32" s="9"/>
      <c r="M32" s="9"/>
    </row>
    <row r="33" spans="1:13" s="1" customFormat="1">
      <c r="I33" s="1" t="s">
        <v>144</v>
      </c>
    </row>
    <row r="34" spans="1:13" s="1" customFormat="1" ht="21" customHeight="1">
      <c r="A34" s="20" t="s">
        <v>197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s="4" customFormat="1">
      <c r="A35" s="4" t="s">
        <v>188</v>
      </c>
      <c r="B35" s="4">
        <v>2755107.8480000002</v>
      </c>
      <c r="E35" s="5"/>
      <c r="I35" s="5"/>
      <c r="L35" s="4" t="s">
        <v>147</v>
      </c>
      <c r="M35" s="4" t="s">
        <v>155</v>
      </c>
    </row>
    <row r="36" spans="1:13" s="4" customFormat="1">
      <c r="A36" s="4" t="s">
        <v>189</v>
      </c>
      <c r="B36" s="4">
        <v>476651.49200000003</v>
      </c>
      <c r="L36" s="4" t="s">
        <v>148</v>
      </c>
      <c r="M36" s="4" t="s">
        <v>156</v>
      </c>
    </row>
    <row r="37" spans="1:13" s="4" customFormat="1">
      <c r="A37" s="4" t="s">
        <v>149</v>
      </c>
      <c r="B37" s="4" t="s">
        <v>154</v>
      </c>
      <c r="E37" s="5"/>
      <c r="F37" s="5"/>
      <c r="G37" s="5"/>
      <c r="H37" s="5"/>
      <c r="I37" s="5"/>
      <c r="L37" s="4" t="s">
        <v>150</v>
      </c>
      <c r="M37" s="6">
        <v>45</v>
      </c>
    </row>
    <row r="38" spans="1:13" s="1" customFormat="1"/>
    <row r="39" spans="1:13" s="1" customFormat="1" ht="15" customHeight="1">
      <c r="A39" s="18" t="s">
        <v>0</v>
      </c>
      <c r="B39" s="18"/>
      <c r="C39" s="18"/>
      <c r="D39" s="19" t="s">
        <v>200</v>
      </c>
      <c r="E39" s="19" t="s">
        <v>201</v>
      </c>
      <c r="F39" s="19" t="s">
        <v>199</v>
      </c>
      <c r="G39" s="19" t="s">
        <v>1</v>
      </c>
      <c r="H39" s="19" t="s">
        <v>2</v>
      </c>
      <c r="I39" s="17" t="s">
        <v>3</v>
      </c>
      <c r="J39" s="17" t="s">
        <v>4</v>
      </c>
      <c r="K39" s="17" t="s">
        <v>5</v>
      </c>
      <c r="L39" s="17" t="s">
        <v>6</v>
      </c>
      <c r="M39" s="17" t="s">
        <v>7</v>
      </c>
    </row>
    <row r="40" spans="1:13" s="1" customFormat="1" ht="47.25" customHeight="1">
      <c r="A40" s="7" t="s">
        <v>8</v>
      </c>
      <c r="B40" s="7" t="s">
        <v>9</v>
      </c>
      <c r="C40" s="11" t="s">
        <v>190</v>
      </c>
      <c r="D40" s="19"/>
      <c r="E40" s="19"/>
      <c r="F40" s="19"/>
      <c r="G40" s="19"/>
      <c r="H40" s="19"/>
      <c r="I40" s="17"/>
      <c r="J40" s="17"/>
      <c r="K40" s="17"/>
      <c r="L40" s="17"/>
      <c r="M40" s="17"/>
    </row>
    <row r="41" spans="1:13" s="1" customFormat="1">
      <c r="A41" s="8">
        <v>0</v>
      </c>
      <c r="B41" s="8">
        <v>3</v>
      </c>
      <c r="C41" s="8">
        <v>0.5</v>
      </c>
      <c r="D41" s="8" t="s">
        <v>10</v>
      </c>
      <c r="E41" s="8">
        <v>3</v>
      </c>
      <c r="F41" s="8">
        <v>0</v>
      </c>
      <c r="G41" s="8">
        <v>3</v>
      </c>
      <c r="H41" s="8">
        <v>0</v>
      </c>
      <c r="I41" s="9" t="s">
        <v>202</v>
      </c>
      <c r="J41" s="9" t="s">
        <v>13</v>
      </c>
      <c r="K41" s="9"/>
      <c r="L41" s="9"/>
      <c r="M41" s="9"/>
    </row>
    <row r="42" spans="1:13" s="1" customFormat="1">
      <c r="A42" s="8">
        <f>B41</f>
        <v>3</v>
      </c>
      <c r="B42" s="8">
        <v>4</v>
      </c>
      <c r="C42" s="8">
        <f t="shared" ref="C42:C43" si="9">B42-A42</f>
        <v>1</v>
      </c>
      <c r="D42" s="8">
        <v>0.45</v>
      </c>
      <c r="E42" s="8">
        <v>1</v>
      </c>
      <c r="F42" s="8">
        <f>D42/E42*100</f>
        <v>45</v>
      </c>
      <c r="G42" s="8">
        <v>4</v>
      </c>
      <c r="H42" s="8">
        <v>0</v>
      </c>
      <c r="I42" s="9" t="s">
        <v>47</v>
      </c>
      <c r="J42" s="9" t="s">
        <v>22</v>
      </c>
      <c r="K42" s="9" t="s">
        <v>11</v>
      </c>
      <c r="L42" s="9"/>
      <c r="M42" s="9" t="s">
        <v>20</v>
      </c>
    </row>
    <row r="43" spans="1:13" s="1" customFormat="1" ht="30">
      <c r="A43" s="8">
        <f t="shared" ref="A43" si="10">B42</f>
        <v>4</v>
      </c>
      <c r="B43" s="8">
        <v>7</v>
      </c>
      <c r="C43" s="8">
        <f t="shared" si="9"/>
        <v>3</v>
      </c>
      <c r="D43" s="8">
        <v>0.98</v>
      </c>
      <c r="E43" s="8">
        <f>D43*3/2.1</f>
        <v>1.4</v>
      </c>
      <c r="F43" s="8">
        <f>2.1/3*100</f>
        <v>70</v>
      </c>
      <c r="G43" s="8">
        <f>G42+E43</f>
        <v>5.4</v>
      </c>
      <c r="H43" s="8">
        <v>0</v>
      </c>
      <c r="I43" s="9" t="s">
        <v>48</v>
      </c>
      <c r="J43" s="9" t="s">
        <v>19</v>
      </c>
      <c r="K43" s="9" t="s">
        <v>11</v>
      </c>
      <c r="L43" s="9"/>
      <c r="M43" s="9" t="s">
        <v>20</v>
      </c>
    </row>
    <row r="44" spans="1:13" s="1" customFormat="1" ht="18.75" customHeight="1">
      <c r="A44" s="8"/>
      <c r="B44" s="8"/>
      <c r="C44" s="8"/>
      <c r="D44" s="8">
        <v>1.1200000000000001</v>
      </c>
      <c r="E44" s="8">
        <f>D44*3/2.1</f>
        <v>1.6</v>
      </c>
      <c r="F44" s="8"/>
      <c r="G44" s="8">
        <f t="shared" ref="G44" si="11">G43+E44</f>
        <v>7</v>
      </c>
      <c r="H44" s="8"/>
      <c r="I44" s="9" t="s">
        <v>49</v>
      </c>
      <c r="J44" s="9" t="s">
        <v>22</v>
      </c>
      <c r="K44" s="9" t="s">
        <v>12</v>
      </c>
      <c r="L44" s="9"/>
      <c r="M44" s="9" t="s">
        <v>20</v>
      </c>
    </row>
    <row r="45" spans="1:13" s="1" customFormat="1" ht="16.5" customHeight="1">
      <c r="A45" s="8">
        <f>B43</f>
        <v>7</v>
      </c>
      <c r="B45" s="8">
        <v>10</v>
      </c>
      <c r="C45" s="8">
        <f t="shared" ref="C45" si="12">B45-A45</f>
        <v>3</v>
      </c>
      <c r="D45" s="8">
        <v>2.48</v>
      </c>
      <c r="E45" s="8">
        <f>D45*3/2.88</f>
        <v>2.583333333333333</v>
      </c>
      <c r="F45" s="8">
        <f>2.88/3*100</f>
        <v>96</v>
      </c>
      <c r="G45" s="8">
        <f>G44+E45</f>
        <v>9.5833333333333321</v>
      </c>
      <c r="H45" s="8">
        <v>14.14</v>
      </c>
      <c r="I45" s="9" t="s">
        <v>49</v>
      </c>
      <c r="J45" s="9" t="s">
        <v>22</v>
      </c>
      <c r="K45" s="9" t="s">
        <v>11</v>
      </c>
      <c r="L45" s="9"/>
      <c r="M45" s="9"/>
    </row>
    <row r="46" spans="1:13" s="1" customFormat="1" ht="30">
      <c r="A46" s="8"/>
      <c r="B46" s="8"/>
      <c r="C46" s="8"/>
      <c r="D46" s="8">
        <v>0.4</v>
      </c>
      <c r="E46" s="8">
        <f>D46*3/2.88</f>
        <v>0.41666666666666674</v>
      </c>
      <c r="F46" s="8"/>
      <c r="G46" s="8">
        <f>G45+E46</f>
        <v>9.9999999999999982</v>
      </c>
      <c r="H46" s="8"/>
      <c r="I46" s="9" t="s">
        <v>23</v>
      </c>
      <c r="J46" s="9" t="s">
        <v>24</v>
      </c>
      <c r="K46" s="9"/>
      <c r="L46" s="9"/>
      <c r="M46" s="9"/>
    </row>
    <row r="47" spans="1:13" s="1" customFormat="1" ht="30">
      <c r="A47" s="8">
        <f>B45</f>
        <v>10</v>
      </c>
      <c r="B47" s="8">
        <v>13</v>
      </c>
      <c r="C47" s="8">
        <f>B47-A47</f>
        <v>3</v>
      </c>
      <c r="D47" s="8">
        <v>1.38</v>
      </c>
      <c r="E47" s="8">
        <f>D47*3/2.74</f>
        <v>1.5109489051094889</v>
      </c>
      <c r="F47" s="8">
        <f>2.74/3*100</f>
        <v>91.333333333333343</v>
      </c>
      <c r="G47" s="8">
        <f>G46+E47</f>
        <v>11.510948905109487</v>
      </c>
      <c r="H47" s="8">
        <v>0</v>
      </c>
      <c r="I47" s="9" t="s">
        <v>51</v>
      </c>
      <c r="J47" s="9" t="s">
        <v>24</v>
      </c>
      <c r="K47" s="9"/>
      <c r="L47" s="9"/>
      <c r="M47" s="9"/>
    </row>
    <row r="48" spans="1:13" s="1" customFormat="1">
      <c r="A48" s="8"/>
      <c r="B48" s="8"/>
      <c r="C48" s="8"/>
      <c r="D48" s="8">
        <v>1.36</v>
      </c>
      <c r="E48" s="8">
        <f>D48*3/2.74</f>
        <v>1.4890510948905109</v>
      </c>
      <c r="F48" s="8"/>
      <c r="G48" s="8">
        <f t="shared" ref="G48:G64" si="13">G47+E48</f>
        <v>12.999999999999998</v>
      </c>
      <c r="H48" s="8"/>
      <c r="I48" s="9" t="s">
        <v>50</v>
      </c>
      <c r="J48" s="9" t="s">
        <v>26</v>
      </c>
      <c r="K48" s="9" t="s">
        <v>15</v>
      </c>
      <c r="L48" s="9"/>
      <c r="M48" s="9"/>
    </row>
    <row r="49" spans="1:13" s="1" customFormat="1">
      <c r="A49" s="8">
        <f>B47</f>
        <v>13</v>
      </c>
      <c r="B49" s="8">
        <v>16</v>
      </c>
      <c r="C49" s="8">
        <f>B49-A49</f>
        <v>3</v>
      </c>
      <c r="D49" s="8">
        <v>2</v>
      </c>
      <c r="E49" s="8">
        <v>2</v>
      </c>
      <c r="F49" s="8">
        <v>100</v>
      </c>
      <c r="G49" s="8">
        <f t="shared" si="13"/>
        <v>14.999999999999998</v>
      </c>
      <c r="H49" s="8">
        <v>24.22</v>
      </c>
      <c r="I49" s="9" t="s">
        <v>50</v>
      </c>
      <c r="J49" s="9" t="s">
        <v>52</v>
      </c>
      <c r="K49" s="9" t="s">
        <v>15</v>
      </c>
      <c r="L49" s="9"/>
      <c r="M49" s="9"/>
    </row>
    <row r="50" spans="1:13" s="1" customFormat="1" ht="30">
      <c r="A50" s="8"/>
      <c r="B50" s="8"/>
      <c r="C50" s="8"/>
      <c r="D50" s="8">
        <v>1</v>
      </c>
      <c r="E50" s="8">
        <v>1</v>
      </c>
      <c r="F50" s="8"/>
      <c r="G50" s="8">
        <f t="shared" si="13"/>
        <v>15.999999999999998</v>
      </c>
      <c r="H50" s="8"/>
      <c r="I50" s="9" t="s">
        <v>32</v>
      </c>
      <c r="J50" s="9" t="s">
        <v>33</v>
      </c>
      <c r="K50" s="9"/>
      <c r="L50" s="9" t="s">
        <v>31</v>
      </c>
      <c r="M50" s="9"/>
    </row>
    <row r="51" spans="1:13" s="1" customFormat="1" ht="30">
      <c r="A51" s="8">
        <f>B49</f>
        <v>16</v>
      </c>
      <c r="B51" s="8">
        <v>19</v>
      </c>
      <c r="C51" s="8">
        <f>B51-A51</f>
        <v>3</v>
      </c>
      <c r="D51" s="8">
        <v>0.6</v>
      </c>
      <c r="E51" s="8">
        <v>0.6</v>
      </c>
      <c r="F51" s="8">
        <v>100</v>
      </c>
      <c r="G51" s="8">
        <f t="shared" si="13"/>
        <v>16.599999999999998</v>
      </c>
      <c r="H51" s="8">
        <v>48.4</v>
      </c>
      <c r="I51" s="9" t="s">
        <v>32</v>
      </c>
      <c r="J51" s="9" t="s">
        <v>33</v>
      </c>
      <c r="K51" s="9" t="s">
        <v>178</v>
      </c>
      <c r="L51" s="9" t="s">
        <v>31</v>
      </c>
      <c r="M51" s="9"/>
    </row>
    <row r="52" spans="1:13" s="1" customFormat="1" ht="30">
      <c r="A52" s="8"/>
      <c r="B52" s="8"/>
      <c r="C52" s="8"/>
      <c r="D52" s="8">
        <v>2.4</v>
      </c>
      <c r="E52" s="8">
        <v>2.4</v>
      </c>
      <c r="F52" s="8"/>
      <c r="G52" s="8">
        <f t="shared" si="13"/>
        <v>18.999999999999996</v>
      </c>
      <c r="H52" s="8"/>
      <c r="I52" s="9" t="s">
        <v>53</v>
      </c>
      <c r="J52" s="9" t="s">
        <v>54</v>
      </c>
      <c r="K52" s="9"/>
      <c r="L52" s="9"/>
      <c r="M52" s="9" t="s">
        <v>14</v>
      </c>
    </row>
    <row r="53" spans="1:13" s="1" customFormat="1" ht="30">
      <c r="A53" s="8">
        <f>B51</f>
        <v>19</v>
      </c>
      <c r="B53" s="8">
        <v>22</v>
      </c>
      <c r="C53" s="8">
        <f t="shared" ref="C53" si="14">B53-A53</f>
        <v>3</v>
      </c>
      <c r="D53" s="8">
        <v>3</v>
      </c>
      <c r="E53" s="8">
        <v>3</v>
      </c>
      <c r="F53" s="8">
        <v>100</v>
      </c>
      <c r="G53" s="8">
        <f t="shared" si="13"/>
        <v>21.999999999999996</v>
      </c>
      <c r="H53" s="8">
        <v>56.72</v>
      </c>
      <c r="I53" s="9" t="s">
        <v>53</v>
      </c>
      <c r="J53" s="9" t="s">
        <v>54</v>
      </c>
      <c r="K53" s="9" t="s">
        <v>30</v>
      </c>
      <c r="L53" s="9" t="s">
        <v>31</v>
      </c>
      <c r="M53" s="9"/>
    </row>
    <row r="54" spans="1:13" s="1" customFormat="1" ht="30">
      <c r="A54" s="8">
        <f>B53</f>
        <v>22</v>
      </c>
      <c r="B54" s="8">
        <v>25</v>
      </c>
      <c r="C54" s="8">
        <v>3</v>
      </c>
      <c r="D54" s="8">
        <v>1.5</v>
      </c>
      <c r="E54" s="8">
        <v>1.5</v>
      </c>
      <c r="F54" s="8">
        <v>100</v>
      </c>
      <c r="G54" s="8">
        <f t="shared" si="13"/>
        <v>23.499999999999996</v>
      </c>
      <c r="H54" s="8">
        <v>44.9</v>
      </c>
      <c r="I54" s="9" t="s">
        <v>55</v>
      </c>
      <c r="J54" s="9" t="s">
        <v>37</v>
      </c>
      <c r="K54" s="9"/>
      <c r="L54" s="9" t="s">
        <v>57</v>
      </c>
      <c r="M54" s="9" t="s">
        <v>14</v>
      </c>
    </row>
    <row r="55" spans="1:13" s="1" customFormat="1" ht="30">
      <c r="A55" s="8"/>
      <c r="B55" s="8"/>
      <c r="C55" s="8"/>
      <c r="D55" s="8">
        <v>1.5</v>
      </c>
      <c r="E55" s="8">
        <v>1.5</v>
      </c>
      <c r="F55" s="8"/>
      <c r="G55" s="8">
        <f t="shared" si="13"/>
        <v>24.999999999999996</v>
      </c>
      <c r="H55" s="8"/>
      <c r="I55" s="9" t="s">
        <v>56</v>
      </c>
      <c r="J55" s="9" t="s">
        <v>44</v>
      </c>
      <c r="K55" s="9"/>
      <c r="L55" s="9" t="s">
        <v>57</v>
      </c>
      <c r="M55" s="9"/>
    </row>
    <row r="56" spans="1:13" s="1" customFormat="1" ht="30">
      <c r="A56" s="8">
        <f t="shared" ref="A56" si="15">B54</f>
        <v>25</v>
      </c>
      <c r="B56" s="8">
        <v>28</v>
      </c>
      <c r="C56" s="8">
        <v>3</v>
      </c>
      <c r="D56" s="8">
        <v>3</v>
      </c>
      <c r="E56" s="8">
        <v>3</v>
      </c>
      <c r="F56" s="8">
        <f>D56/3*100</f>
        <v>100</v>
      </c>
      <c r="G56" s="8">
        <f t="shared" si="13"/>
        <v>27.999999999999996</v>
      </c>
      <c r="H56" s="8">
        <v>67.34</v>
      </c>
      <c r="I56" s="9" t="s">
        <v>58</v>
      </c>
      <c r="J56" s="9" t="s">
        <v>44</v>
      </c>
      <c r="K56" s="9"/>
      <c r="L56" s="9" t="s">
        <v>57</v>
      </c>
      <c r="M56" s="9"/>
    </row>
    <row r="57" spans="1:13" s="1" customFormat="1" ht="18" customHeight="1">
      <c r="A57" s="8">
        <f>B56</f>
        <v>28</v>
      </c>
      <c r="B57" s="8">
        <v>31</v>
      </c>
      <c r="C57" s="8">
        <f t="shared" ref="C57" si="16">B57-A57</f>
        <v>3</v>
      </c>
      <c r="D57" s="8">
        <v>3</v>
      </c>
      <c r="E57" s="8">
        <v>3</v>
      </c>
      <c r="F57" s="8">
        <v>100</v>
      </c>
      <c r="G57" s="8">
        <f t="shared" si="13"/>
        <v>30.999999999999996</v>
      </c>
      <c r="H57" s="8">
        <v>74.58</v>
      </c>
      <c r="I57" s="9" t="s">
        <v>59</v>
      </c>
      <c r="J57" s="9" t="s">
        <v>44</v>
      </c>
      <c r="K57" s="9"/>
      <c r="L57" s="9" t="s">
        <v>57</v>
      </c>
      <c r="M57" s="9"/>
    </row>
    <row r="58" spans="1:13" s="1" customFormat="1" ht="18.75" customHeight="1">
      <c r="A58" s="8">
        <f>B57</f>
        <v>31</v>
      </c>
      <c r="B58" s="8">
        <v>34</v>
      </c>
      <c r="C58" s="8">
        <v>3</v>
      </c>
      <c r="D58" s="8">
        <v>3</v>
      </c>
      <c r="E58" s="8">
        <v>3</v>
      </c>
      <c r="F58" s="8">
        <f>2/2*100</f>
        <v>100</v>
      </c>
      <c r="G58" s="8">
        <f t="shared" si="13"/>
        <v>34</v>
      </c>
      <c r="H58" s="8">
        <v>58.78</v>
      </c>
      <c r="I58" s="9" t="s">
        <v>59</v>
      </c>
      <c r="J58" s="9" t="s">
        <v>44</v>
      </c>
      <c r="K58" s="9"/>
      <c r="L58" s="9" t="s">
        <v>57</v>
      </c>
      <c r="M58" s="9"/>
    </row>
    <row r="59" spans="1:13" s="1" customFormat="1" ht="30" customHeight="1">
      <c r="A59" s="8">
        <f>B58</f>
        <v>34</v>
      </c>
      <c r="B59" s="8">
        <v>37</v>
      </c>
      <c r="C59" s="8">
        <v>3</v>
      </c>
      <c r="D59" s="8">
        <v>3</v>
      </c>
      <c r="E59" s="8">
        <v>3</v>
      </c>
      <c r="F59" s="8">
        <f>SUM(D59)*100/3</f>
        <v>100</v>
      </c>
      <c r="G59" s="8">
        <f t="shared" si="13"/>
        <v>37</v>
      </c>
      <c r="H59" s="8">
        <v>78.900000000000006</v>
      </c>
      <c r="I59" s="9" t="s">
        <v>60</v>
      </c>
      <c r="J59" s="9" t="s">
        <v>44</v>
      </c>
      <c r="K59" s="9"/>
      <c r="L59" s="9" t="s">
        <v>57</v>
      </c>
      <c r="M59" s="9"/>
    </row>
    <row r="60" spans="1:13" s="1" customFormat="1" ht="16.5" customHeight="1">
      <c r="A60" s="8">
        <f t="shared" ref="A60:A64" si="17">B59</f>
        <v>37</v>
      </c>
      <c r="B60" s="8">
        <v>40</v>
      </c>
      <c r="C60" s="8">
        <v>3</v>
      </c>
      <c r="D60" s="8">
        <v>0.3</v>
      </c>
      <c r="E60" s="8">
        <v>0.3</v>
      </c>
      <c r="F60" s="8">
        <v>100</v>
      </c>
      <c r="G60" s="8">
        <f t="shared" si="13"/>
        <v>37.299999999999997</v>
      </c>
      <c r="H60" s="8">
        <v>46.6</v>
      </c>
      <c r="I60" s="9" t="s">
        <v>59</v>
      </c>
      <c r="J60" s="9" t="s">
        <v>44</v>
      </c>
      <c r="K60" s="9"/>
      <c r="L60" s="9" t="s">
        <v>57</v>
      </c>
      <c r="M60" s="9"/>
    </row>
    <row r="61" spans="1:13" s="1" customFormat="1" ht="30" customHeight="1">
      <c r="A61" s="8"/>
      <c r="B61" s="8"/>
      <c r="C61" s="8"/>
      <c r="D61" s="8">
        <v>1.2</v>
      </c>
      <c r="E61" s="8">
        <v>1.2</v>
      </c>
      <c r="F61" s="8"/>
      <c r="G61" s="8">
        <f t="shared" si="13"/>
        <v>38.5</v>
      </c>
      <c r="H61" s="8"/>
      <c r="I61" s="9" t="s">
        <v>61</v>
      </c>
      <c r="J61" s="9" t="s">
        <v>35</v>
      </c>
      <c r="K61" s="9"/>
      <c r="L61" s="9" t="s">
        <v>31</v>
      </c>
      <c r="M61" s="9"/>
    </row>
    <row r="62" spans="1:13" s="1" customFormat="1" ht="17.25" customHeight="1">
      <c r="A62" s="8"/>
      <c r="B62" s="8"/>
      <c r="C62" s="8"/>
      <c r="D62" s="8">
        <v>1.5</v>
      </c>
      <c r="E62" s="8">
        <v>1.5</v>
      </c>
      <c r="F62" s="8"/>
      <c r="G62" s="8">
        <f t="shared" si="13"/>
        <v>40</v>
      </c>
      <c r="H62" s="8"/>
      <c r="I62" s="9" t="s">
        <v>43</v>
      </c>
      <c r="J62" s="9" t="s">
        <v>62</v>
      </c>
      <c r="K62" s="9"/>
      <c r="L62" s="9"/>
      <c r="M62" s="9"/>
    </row>
    <row r="63" spans="1:13" s="1" customFormat="1" ht="16.5" customHeight="1">
      <c r="A63" s="8">
        <f>B60</f>
        <v>40</v>
      </c>
      <c r="B63" s="8">
        <v>43</v>
      </c>
      <c r="C63" s="8">
        <v>3</v>
      </c>
      <c r="D63" s="8">
        <v>3</v>
      </c>
      <c r="E63" s="8">
        <v>3</v>
      </c>
      <c r="F63" s="8">
        <f t="shared" ref="F63" si="18">SUM(D63)*100/3</f>
        <v>100</v>
      </c>
      <c r="G63" s="8">
        <f t="shared" si="13"/>
        <v>43</v>
      </c>
      <c r="H63" s="8">
        <v>11.1</v>
      </c>
      <c r="I63" s="9" t="s">
        <v>43</v>
      </c>
      <c r="J63" s="9" t="s">
        <v>62</v>
      </c>
      <c r="K63" s="9"/>
      <c r="L63" s="9"/>
      <c r="M63" s="9"/>
    </row>
    <row r="64" spans="1:13" s="1" customFormat="1" ht="15.75" customHeight="1">
      <c r="A64" s="8">
        <f t="shared" si="17"/>
        <v>43</v>
      </c>
      <c r="B64" s="8">
        <v>45</v>
      </c>
      <c r="C64" s="8">
        <v>2</v>
      </c>
      <c r="D64" s="8">
        <v>2</v>
      </c>
      <c r="E64" s="8">
        <v>2</v>
      </c>
      <c r="F64" s="8">
        <v>100</v>
      </c>
      <c r="G64" s="8">
        <f t="shared" si="13"/>
        <v>45</v>
      </c>
      <c r="H64" s="8">
        <v>0</v>
      </c>
      <c r="I64" s="9" t="s">
        <v>43</v>
      </c>
      <c r="J64" s="9" t="s">
        <v>62</v>
      </c>
      <c r="K64" s="9"/>
      <c r="L64" s="9"/>
      <c r="M64" s="9"/>
    </row>
    <row r="66" spans="1:13" ht="24" customHeight="1">
      <c r="A66" s="20" t="s">
        <v>196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</row>
    <row r="67" spans="1:13" s="4" customFormat="1">
      <c r="A67" s="4" t="s">
        <v>188</v>
      </c>
      <c r="B67" s="4" t="s">
        <v>157</v>
      </c>
      <c r="E67" s="5"/>
      <c r="I67" s="5"/>
      <c r="L67" s="4" t="s">
        <v>147</v>
      </c>
      <c r="M67" s="4" t="s">
        <v>156</v>
      </c>
    </row>
    <row r="68" spans="1:13" s="4" customFormat="1">
      <c r="A68" s="4" t="s">
        <v>189</v>
      </c>
      <c r="B68" s="4">
        <v>477455.96500000003</v>
      </c>
      <c r="L68" s="4" t="s">
        <v>148</v>
      </c>
      <c r="M68" s="4" t="s">
        <v>159</v>
      </c>
    </row>
    <row r="69" spans="1:13" s="4" customFormat="1">
      <c r="A69" s="4" t="s">
        <v>149</v>
      </c>
      <c r="B69" s="4" t="s">
        <v>158</v>
      </c>
      <c r="E69" s="5"/>
      <c r="F69" s="5"/>
      <c r="G69" s="5"/>
      <c r="H69" s="5"/>
      <c r="I69" s="5"/>
      <c r="L69" s="4" t="s">
        <v>150</v>
      </c>
      <c r="M69" s="6">
        <v>57</v>
      </c>
    </row>
    <row r="70" spans="1:13" s="1" customFormat="1">
      <c r="K70" s="21"/>
      <c r="L70" s="21"/>
      <c r="M70" s="21"/>
    </row>
    <row r="71" spans="1:13" s="1" customFormat="1" ht="15" customHeight="1">
      <c r="A71" s="18" t="s">
        <v>0</v>
      </c>
      <c r="B71" s="18"/>
      <c r="C71" s="18"/>
      <c r="D71" s="19" t="s">
        <v>200</v>
      </c>
      <c r="E71" s="19" t="s">
        <v>201</v>
      </c>
      <c r="F71" s="19" t="s">
        <v>199</v>
      </c>
      <c r="G71" s="19" t="s">
        <v>1</v>
      </c>
      <c r="H71" s="19" t="s">
        <v>2</v>
      </c>
      <c r="I71" s="17" t="s">
        <v>3</v>
      </c>
      <c r="J71" s="17" t="s">
        <v>4</v>
      </c>
      <c r="K71" s="17" t="s">
        <v>5</v>
      </c>
      <c r="L71" s="17" t="s">
        <v>6</v>
      </c>
      <c r="M71" s="17" t="s">
        <v>7</v>
      </c>
    </row>
    <row r="72" spans="1:13" s="1" customFormat="1" ht="48.75" customHeight="1">
      <c r="A72" s="7" t="s">
        <v>8</v>
      </c>
      <c r="B72" s="7" t="s">
        <v>9</v>
      </c>
      <c r="C72" s="11" t="s">
        <v>190</v>
      </c>
      <c r="D72" s="19"/>
      <c r="E72" s="19"/>
      <c r="F72" s="19"/>
      <c r="G72" s="19"/>
      <c r="H72" s="19"/>
      <c r="I72" s="17"/>
      <c r="J72" s="17"/>
      <c r="K72" s="17"/>
      <c r="L72" s="17"/>
      <c r="M72" s="17"/>
    </row>
    <row r="73" spans="1:13" s="1" customFormat="1">
      <c r="A73" s="8">
        <v>0</v>
      </c>
      <c r="B73" s="8">
        <v>3</v>
      </c>
      <c r="C73" s="8">
        <v>0.5</v>
      </c>
      <c r="D73" s="8" t="s">
        <v>10</v>
      </c>
      <c r="E73" s="8">
        <v>3</v>
      </c>
      <c r="F73" s="8">
        <v>0</v>
      </c>
      <c r="G73" s="8">
        <v>3</v>
      </c>
      <c r="H73" s="8">
        <v>0</v>
      </c>
      <c r="I73" s="9" t="s">
        <v>17</v>
      </c>
      <c r="J73" s="9" t="s">
        <v>13</v>
      </c>
      <c r="K73" s="9"/>
      <c r="L73" s="9"/>
      <c r="M73" s="9"/>
    </row>
    <row r="74" spans="1:13" s="1" customFormat="1">
      <c r="A74" s="8">
        <f>B73</f>
        <v>3</v>
      </c>
      <c r="B74" s="8">
        <v>4</v>
      </c>
      <c r="C74" s="8">
        <f t="shared" ref="C74:C75" si="19">B74-A74</f>
        <v>1</v>
      </c>
      <c r="D74" s="8">
        <v>0.57999999999999996</v>
      </c>
      <c r="E74" s="8">
        <v>1</v>
      </c>
      <c r="F74" s="8">
        <f>D74/E74*100</f>
        <v>57.999999999999993</v>
      </c>
      <c r="G74" s="8">
        <v>4</v>
      </c>
      <c r="H74" s="8">
        <v>0</v>
      </c>
      <c r="I74" s="9" t="s">
        <v>65</v>
      </c>
      <c r="J74" s="9" t="s">
        <v>66</v>
      </c>
      <c r="K74" s="9" t="s">
        <v>11</v>
      </c>
      <c r="L74" s="9"/>
      <c r="M74" s="9" t="s">
        <v>20</v>
      </c>
    </row>
    <row r="75" spans="1:13" s="1" customFormat="1">
      <c r="A75" s="8">
        <f t="shared" ref="A75" si="20">B74</f>
        <v>4</v>
      </c>
      <c r="B75" s="8">
        <v>7</v>
      </c>
      <c r="C75" s="8">
        <f t="shared" si="19"/>
        <v>3</v>
      </c>
      <c r="D75" s="8">
        <v>0.9</v>
      </c>
      <c r="E75" s="8">
        <v>3</v>
      </c>
      <c r="F75" s="8">
        <f>0.9/3*100</f>
        <v>30</v>
      </c>
      <c r="G75" s="8">
        <f>G74+E75</f>
        <v>7</v>
      </c>
      <c r="H75" s="8">
        <v>0</v>
      </c>
      <c r="I75" s="9" t="s">
        <v>67</v>
      </c>
      <c r="J75" s="9" t="s">
        <v>19</v>
      </c>
      <c r="K75" s="9" t="s">
        <v>11</v>
      </c>
      <c r="L75" s="9" t="s">
        <v>57</v>
      </c>
      <c r="M75" s="9" t="s">
        <v>20</v>
      </c>
    </row>
    <row r="76" spans="1:13" s="1" customFormat="1" ht="30">
      <c r="A76" s="8">
        <f>B75</f>
        <v>7</v>
      </c>
      <c r="B76" s="8">
        <v>10</v>
      </c>
      <c r="C76" s="8">
        <f t="shared" ref="C76" si="21">B76-A76</f>
        <v>3</v>
      </c>
      <c r="D76" s="8">
        <v>0.55000000000000004</v>
      </c>
      <c r="E76" s="8">
        <f>D76*3/1.43</f>
        <v>1.153846153846154</v>
      </c>
      <c r="F76" s="8">
        <f>1.43/3*100</f>
        <v>47.666666666666664</v>
      </c>
      <c r="G76" s="8">
        <f t="shared" ref="G76:G106" si="22">G75+E76</f>
        <v>8.1538461538461533</v>
      </c>
      <c r="H76" s="8">
        <v>0</v>
      </c>
      <c r="I76" s="9" t="s">
        <v>68</v>
      </c>
      <c r="J76" s="9" t="s">
        <v>22</v>
      </c>
      <c r="K76" s="9" t="s">
        <v>71</v>
      </c>
      <c r="L76" s="9" t="s">
        <v>57</v>
      </c>
      <c r="M76" s="9" t="s">
        <v>20</v>
      </c>
    </row>
    <row r="77" spans="1:13" s="1" customFormat="1">
      <c r="A77" s="8"/>
      <c r="B77" s="8"/>
      <c r="C77" s="8"/>
      <c r="D77" s="8">
        <v>0.88</v>
      </c>
      <c r="E77" s="8">
        <f>D77*3/1.43</f>
        <v>1.8461538461538463</v>
      </c>
      <c r="F77" s="8"/>
      <c r="G77" s="8">
        <f t="shared" si="22"/>
        <v>10</v>
      </c>
      <c r="H77" s="8"/>
      <c r="I77" s="9" t="s">
        <v>69</v>
      </c>
      <c r="J77" s="9" t="s">
        <v>70</v>
      </c>
      <c r="K77" s="9"/>
      <c r="L77" s="9" t="s">
        <v>57</v>
      </c>
      <c r="M77" s="9"/>
    </row>
    <row r="78" spans="1:13" s="1" customFormat="1">
      <c r="A78" s="8">
        <f>B76</f>
        <v>10</v>
      </c>
      <c r="B78" s="8">
        <v>13</v>
      </c>
      <c r="C78" s="8">
        <f>B78-A78</f>
        <v>3</v>
      </c>
      <c r="D78" s="8">
        <v>2.93</v>
      </c>
      <c r="E78" s="8">
        <v>3</v>
      </c>
      <c r="F78" s="8">
        <f>2.93/3*100</f>
        <v>97.666666666666671</v>
      </c>
      <c r="G78" s="8">
        <f t="shared" si="22"/>
        <v>13</v>
      </c>
      <c r="H78" s="8">
        <v>0</v>
      </c>
      <c r="I78" s="9" t="s">
        <v>69</v>
      </c>
      <c r="J78" s="9" t="s">
        <v>70</v>
      </c>
      <c r="K78" s="9"/>
      <c r="L78" s="9"/>
      <c r="M78" s="9"/>
    </row>
    <row r="79" spans="1:13" s="1" customFormat="1">
      <c r="A79" s="8">
        <f>B78</f>
        <v>13</v>
      </c>
      <c r="B79" s="8">
        <v>16</v>
      </c>
      <c r="C79" s="8">
        <f>B79-A79</f>
        <v>3</v>
      </c>
      <c r="D79" s="8">
        <v>3</v>
      </c>
      <c r="E79" s="8">
        <v>3</v>
      </c>
      <c r="F79" s="8">
        <v>100</v>
      </c>
      <c r="G79" s="8">
        <f t="shared" si="22"/>
        <v>16</v>
      </c>
      <c r="H79" s="8">
        <v>0</v>
      </c>
      <c r="I79" s="9" t="s">
        <v>72</v>
      </c>
      <c r="J79" s="9" t="s">
        <v>35</v>
      </c>
      <c r="K79" s="9"/>
      <c r="L79" s="9"/>
      <c r="M79" s="9"/>
    </row>
    <row r="80" spans="1:13" s="1" customFormat="1" ht="30">
      <c r="A80" s="8">
        <f>B79</f>
        <v>16</v>
      </c>
      <c r="B80" s="8">
        <v>19</v>
      </c>
      <c r="C80" s="8">
        <f>B80-A80</f>
        <v>3</v>
      </c>
      <c r="D80" s="8">
        <v>3</v>
      </c>
      <c r="E80" s="8">
        <v>3</v>
      </c>
      <c r="F80" s="8">
        <v>100</v>
      </c>
      <c r="G80" s="8">
        <f t="shared" si="22"/>
        <v>19</v>
      </c>
      <c r="H80" s="8">
        <v>22.12</v>
      </c>
      <c r="I80" s="9" t="s">
        <v>73</v>
      </c>
      <c r="J80" s="9" t="s">
        <v>35</v>
      </c>
      <c r="K80" s="9"/>
      <c r="L80" s="9"/>
      <c r="M80" s="9"/>
    </row>
    <row r="81" spans="1:13" s="1" customFormat="1" ht="30">
      <c r="A81" s="8">
        <f>B80</f>
        <v>19</v>
      </c>
      <c r="B81" s="8">
        <v>22</v>
      </c>
      <c r="C81" s="8">
        <f t="shared" ref="C81" si="23">B81-A81</f>
        <v>3</v>
      </c>
      <c r="D81" s="8">
        <v>1</v>
      </c>
      <c r="E81" s="8">
        <v>1</v>
      </c>
      <c r="F81" s="8">
        <v>100</v>
      </c>
      <c r="G81" s="8">
        <f t="shared" si="22"/>
        <v>20</v>
      </c>
      <c r="H81" s="8">
        <v>13.39</v>
      </c>
      <c r="I81" s="9" t="s">
        <v>73</v>
      </c>
      <c r="J81" s="9" t="s">
        <v>35</v>
      </c>
      <c r="K81" s="9"/>
      <c r="L81" s="9"/>
      <c r="M81" s="9"/>
    </row>
    <row r="82" spans="1:13" s="1" customFormat="1">
      <c r="A82" s="8"/>
      <c r="B82" s="8"/>
      <c r="C82" s="8"/>
      <c r="D82" s="8">
        <v>1.6</v>
      </c>
      <c r="E82" s="8">
        <v>1.6</v>
      </c>
      <c r="F82" s="8"/>
      <c r="G82" s="8">
        <f t="shared" si="22"/>
        <v>21.6</v>
      </c>
      <c r="H82" s="8"/>
      <c r="I82" s="9" t="s">
        <v>74</v>
      </c>
      <c r="J82" s="9" t="s">
        <v>22</v>
      </c>
      <c r="K82" s="9" t="s">
        <v>30</v>
      </c>
      <c r="L82" s="9"/>
      <c r="M82" s="9"/>
    </row>
    <row r="83" spans="1:13" s="1" customFormat="1">
      <c r="A83" s="8"/>
      <c r="B83" s="8"/>
      <c r="C83" s="8"/>
      <c r="D83" s="8">
        <v>0.4</v>
      </c>
      <c r="E83" s="8">
        <v>0.4</v>
      </c>
      <c r="F83" s="8"/>
      <c r="G83" s="8">
        <f t="shared" si="22"/>
        <v>22</v>
      </c>
      <c r="H83" s="8"/>
      <c r="I83" s="9" t="s">
        <v>75</v>
      </c>
      <c r="J83" s="9" t="s">
        <v>44</v>
      </c>
      <c r="K83" s="9"/>
      <c r="L83" s="9"/>
      <c r="M83" s="9"/>
    </row>
    <row r="84" spans="1:13" s="1" customFormat="1" ht="30">
      <c r="A84" s="8">
        <f>B81</f>
        <v>22</v>
      </c>
      <c r="B84" s="8">
        <v>25</v>
      </c>
      <c r="C84" s="8">
        <v>3</v>
      </c>
      <c r="D84" s="8">
        <v>1</v>
      </c>
      <c r="E84" s="8">
        <v>1</v>
      </c>
      <c r="F84" s="8">
        <v>100</v>
      </c>
      <c r="G84" s="8">
        <f t="shared" si="22"/>
        <v>23</v>
      </c>
      <c r="H84" s="8">
        <v>8.58</v>
      </c>
      <c r="I84" s="9" t="s">
        <v>76</v>
      </c>
      <c r="J84" s="9" t="s">
        <v>22</v>
      </c>
      <c r="K84" s="9"/>
      <c r="L84" s="9"/>
      <c r="M84" s="9"/>
    </row>
    <row r="85" spans="1:13" s="1" customFormat="1">
      <c r="A85" s="8"/>
      <c r="B85" s="8"/>
      <c r="C85" s="8"/>
      <c r="D85" s="8">
        <v>0.3</v>
      </c>
      <c r="E85" s="8">
        <v>0.3</v>
      </c>
      <c r="F85" s="8"/>
      <c r="G85" s="8">
        <f t="shared" si="22"/>
        <v>23.3</v>
      </c>
      <c r="H85" s="8"/>
      <c r="I85" s="9" t="s">
        <v>77</v>
      </c>
      <c r="J85" s="9" t="s">
        <v>44</v>
      </c>
      <c r="K85" s="9"/>
      <c r="L85" s="9"/>
      <c r="M85" s="9"/>
    </row>
    <row r="86" spans="1:13" s="1" customFormat="1">
      <c r="A86" s="8"/>
      <c r="B86" s="8"/>
      <c r="C86" s="8"/>
      <c r="D86" s="8">
        <v>0.3</v>
      </c>
      <c r="E86" s="8">
        <v>0.3</v>
      </c>
      <c r="F86" s="8"/>
      <c r="G86" s="8">
        <f t="shared" si="22"/>
        <v>23.6</v>
      </c>
      <c r="H86" s="8"/>
      <c r="I86" s="9" t="s">
        <v>78</v>
      </c>
      <c r="J86" s="9" t="s">
        <v>70</v>
      </c>
      <c r="K86" s="9"/>
      <c r="L86" s="9"/>
      <c r="M86" s="9"/>
    </row>
    <row r="87" spans="1:13" s="1" customFormat="1" ht="30">
      <c r="A87" s="8"/>
      <c r="B87" s="8"/>
      <c r="C87" s="8"/>
      <c r="D87" s="8">
        <v>1.4</v>
      </c>
      <c r="E87" s="8">
        <v>1.4</v>
      </c>
      <c r="F87" s="8"/>
      <c r="G87" s="8">
        <f t="shared" si="22"/>
        <v>25</v>
      </c>
      <c r="H87" s="8"/>
      <c r="I87" s="9" t="s">
        <v>23</v>
      </c>
      <c r="J87" s="9" t="s">
        <v>89</v>
      </c>
      <c r="K87" s="9"/>
      <c r="L87" s="9"/>
      <c r="M87" s="9"/>
    </row>
    <row r="88" spans="1:13" s="1" customFormat="1" ht="30">
      <c r="A88" s="8">
        <f t="shared" ref="A88" si="24">B84</f>
        <v>25</v>
      </c>
      <c r="B88" s="8">
        <v>28</v>
      </c>
      <c r="C88" s="8">
        <v>3</v>
      </c>
      <c r="D88" s="8">
        <v>2</v>
      </c>
      <c r="E88" s="8">
        <v>2</v>
      </c>
      <c r="F88" s="8">
        <v>100</v>
      </c>
      <c r="G88" s="8">
        <f t="shared" si="22"/>
        <v>27</v>
      </c>
      <c r="H88" s="8">
        <v>0</v>
      </c>
      <c r="I88" s="9" t="s">
        <v>23</v>
      </c>
      <c r="J88" s="9" t="s">
        <v>89</v>
      </c>
      <c r="K88" s="9"/>
      <c r="L88" s="9"/>
      <c r="M88" s="9"/>
    </row>
    <row r="89" spans="1:13" s="1" customFormat="1">
      <c r="A89" s="8"/>
      <c r="B89" s="8"/>
      <c r="C89" s="8"/>
      <c r="D89" s="8">
        <v>1</v>
      </c>
      <c r="E89" s="8">
        <v>1</v>
      </c>
      <c r="F89" s="8"/>
      <c r="G89" s="8">
        <f t="shared" si="22"/>
        <v>28</v>
      </c>
      <c r="H89" s="8"/>
      <c r="I89" s="9" t="s">
        <v>50</v>
      </c>
      <c r="J89" s="9" t="s">
        <v>26</v>
      </c>
      <c r="K89" s="9"/>
      <c r="L89" s="9"/>
      <c r="M89" s="9"/>
    </row>
    <row r="90" spans="1:13" s="1" customFormat="1" ht="17.25" customHeight="1">
      <c r="A90" s="8">
        <f>B88</f>
        <v>28</v>
      </c>
      <c r="B90" s="8">
        <v>31</v>
      </c>
      <c r="C90" s="8">
        <f t="shared" ref="C90" si="25">B90-A90</f>
        <v>3</v>
      </c>
      <c r="D90" s="8">
        <v>2.2000000000000002</v>
      </c>
      <c r="E90" s="8">
        <v>2.2000000000000002</v>
      </c>
      <c r="F90" s="8">
        <v>100</v>
      </c>
      <c r="G90" s="8">
        <f t="shared" si="22"/>
        <v>30.2</v>
      </c>
      <c r="H90" s="8">
        <v>32.1</v>
      </c>
      <c r="I90" s="9" t="s">
        <v>50</v>
      </c>
      <c r="J90" s="9" t="s">
        <v>26</v>
      </c>
      <c r="K90" s="9"/>
      <c r="L90" s="9"/>
      <c r="M90" s="9"/>
    </row>
    <row r="91" spans="1:13" s="1" customFormat="1" ht="32.1" customHeight="1">
      <c r="A91" s="8"/>
      <c r="B91" s="8"/>
      <c r="C91" s="8"/>
      <c r="D91" s="8">
        <v>0.8</v>
      </c>
      <c r="E91" s="8">
        <v>0.8</v>
      </c>
      <c r="F91" s="8"/>
      <c r="G91" s="8">
        <f t="shared" si="22"/>
        <v>31</v>
      </c>
      <c r="H91" s="8"/>
      <c r="I91" s="9" t="s">
        <v>32</v>
      </c>
      <c r="J91" s="9" t="s">
        <v>33</v>
      </c>
      <c r="K91" s="9"/>
      <c r="L91" s="9" t="s">
        <v>31</v>
      </c>
      <c r="M91" s="9"/>
    </row>
    <row r="92" spans="1:13" s="1" customFormat="1" ht="29.1" customHeight="1">
      <c r="A92" s="8">
        <f>B90</f>
        <v>31</v>
      </c>
      <c r="B92" s="8">
        <v>34</v>
      </c>
      <c r="C92" s="8">
        <v>3</v>
      </c>
      <c r="D92" s="8">
        <v>0.5</v>
      </c>
      <c r="E92" s="8">
        <v>0.5</v>
      </c>
      <c r="F92" s="8">
        <f>2/2*100</f>
        <v>100</v>
      </c>
      <c r="G92" s="8">
        <f t="shared" si="22"/>
        <v>31.5</v>
      </c>
      <c r="H92" s="8">
        <v>48.9</v>
      </c>
      <c r="I92" s="9" t="s">
        <v>32</v>
      </c>
      <c r="J92" s="9" t="s">
        <v>33</v>
      </c>
      <c r="K92" s="9"/>
      <c r="L92" s="9" t="s">
        <v>31</v>
      </c>
      <c r="M92" s="9"/>
    </row>
    <row r="93" spans="1:13" s="1" customFormat="1" ht="29.1" customHeight="1">
      <c r="A93" s="8"/>
      <c r="B93" s="8"/>
      <c r="C93" s="8"/>
      <c r="D93" s="8">
        <v>2.5</v>
      </c>
      <c r="E93" s="8">
        <v>2.5</v>
      </c>
      <c r="F93" s="8"/>
      <c r="G93" s="8">
        <f t="shared" si="22"/>
        <v>34</v>
      </c>
      <c r="H93" s="8"/>
      <c r="I93" s="9" t="s">
        <v>53</v>
      </c>
      <c r="J93" s="9" t="s">
        <v>45</v>
      </c>
      <c r="K93" s="9"/>
      <c r="L93" s="9" t="s">
        <v>57</v>
      </c>
      <c r="M93" s="9" t="s">
        <v>79</v>
      </c>
    </row>
    <row r="94" spans="1:13" s="1" customFormat="1" ht="30" customHeight="1">
      <c r="A94" s="8">
        <f>B92</f>
        <v>34</v>
      </c>
      <c r="B94" s="8">
        <v>37</v>
      </c>
      <c r="C94" s="8">
        <v>3</v>
      </c>
      <c r="D94" s="8">
        <v>3</v>
      </c>
      <c r="E94" s="8">
        <v>3</v>
      </c>
      <c r="F94" s="8">
        <f>SUM(D94)*100/3</f>
        <v>100</v>
      </c>
      <c r="G94" s="8">
        <f t="shared" si="22"/>
        <v>37</v>
      </c>
      <c r="H94" s="8">
        <v>65.59</v>
      </c>
      <c r="I94" s="9" t="s">
        <v>55</v>
      </c>
      <c r="J94" s="9" t="s">
        <v>37</v>
      </c>
      <c r="K94" s="9"/>
      <c r="L94" s="9" t="s">
        <v>57</v>
      </c>
      <c r="M94" s="9"/>
    </row>
    <row r="95" spans="1:13" s="1" customFormat="1" ht="30" customHeight="1">
      <c r="A95" s="8">
        <f t="shared" ref="A95:A103" si="26">B94</f>
        <v>37</v>
      </c>
      <c r="B95" s="8">
        <v>40</v>
      </c>
      <c r="C95" s="8">
        <v>3</v>
      </c>
      <c r="D95" s="8">
        <v>3</v>
      </c>
      <c r="E95" s="8">
        <v>3</v>
      </c>
      <c r="F95" s="8">
        <v>100</v>
      </c>
      <c r="G95" s="8">
        <f t="shared" si="22"/>
        <v>40</v>
      </c>
      <c r="H95" s="8">
        <v>67.760000000000005</v>
      </c>
      <c r="I95" s="9" t="s">
        <v>53</v>
      </c>
      <c r="J95" s="9" t="s">
        <v>45</v>
      </c>
      <c r="K95" s="9" t="s">
        <v>81</v>
      </c>
      <c r="L95" s="9" t="s">
        <v>57</v>
      </c>
      <c r="M95" s="9"/>
    </row>
    <row r="96" spans="1:13" s="1" customFormat="1" ht="32.450000000000003" customHeight="1">
      <c r="A96" s="8">
        <f>B95</f>
        <v>40</v>
      </c>
      <c r="B96" s="8">
        <v>43</v>
      </c>
      <c r="C96" s="8">
        <v>3</v>
      </c>
      <c r="D96" s="8">
        <v>3</v>
      </c>
      <c r="E96" s="8">
        <v>3</v>
      </c>
      <c r="F96" s="8">
        <f t="shared" ref="F96" si="27">SUM(D96)*100/3</f>
        <v>100</v>
      </c>
      <c r="G96" s="8">
        <f t="shared" si="22"/>
        <v>43</v>
      </c>
      <c r="H96" s="8">
        <v>74.400000000000006</v>
      </c>
      <c r="I96" s="9" t="s">
        <v>82</v>
      </c>
      <c r="J96" s="9" t="s">
        <v>44</v>
      </c>
      <c r="K96" s="9"/>
      <c r="L96" s="9" t="s">
        <v>57</v>
      </c>
      <c r="M96" s="9"/>
    </row>
    <row r="97" spans="1:13" s="1" customFormat="1" ht="30" customHeight="1">
      <c r="A97" s="8">
        <f t="shared" si="26"/>
        <v>43</v>
      </c>
      <c r="B97" s="8">
        <v>46</v>
      </c>
      <c r="C97" s="8">
        <v>3</v>
      </c>
      <c r="D97" s="8">
        <v>3</v>
      </c>
      <c r="E97" s="8">
        <v>3</v>
      </c>
      <c r="F97" s="8">
        <v>100</v>
      </c>
      <c r="G97" s="8">
        <f t="shared" si="22"/>
        <v>46</v>
      </c>
      <c r="H97" s="8">
        <v>59.14</v>
      </c>
      <c r="I97" s="9" t="s">
        <v>82</v>
      </c>
      <c r="J97" s="9" t="s">
        <v>44</v>
      </c>
      <c r="K97" s="9"/>
      <c r="L97" s="9" t="s">
        <v>57</v>
      </c>
      <c r="M97" s="9"/>
    </row>
    <row r="98" spans="1:13" s="1" customFormat="1" ht="16.5" customHeight="1">
      <c r="A98" s="8">
        <f t="shared" si="26"/>
        <v>46</v>
      </c>
      <c r="B98" s="8">
        <v>49</v>
      </c>
      <c r="C98" s="8">
        <f>B98-A98</f>
        <v>3</v>
      </c>
      <c r="D98" s="8">
        <v>3</v>
      </c>
      <c r="E98" s="8">
        <v>3</v>
      </c>
      <c r="F98" s="8">
        <v>100</v>
      </c>
      <c r="G98" s="8">
        <f t="shared" si="22"/>
        <v>49</v>
      </c>
      <c r="H98" s="8">
        <v>78.12</v>
      </c>
      <c r="I98" s="9" t="s">
        <v>80</v>
      </c>
      <c r="J98" s="9" t="s">
        <v>44</v>
      </c>
      <c r="K98" s="9" t="s">
        <v>81</v>
      </c>
      <c r="L98" s="9" t="s">
        <v>57</v>
      </c>
      <c r="M98" s="9"/>
    </row>
    <row r="99" spans="1:13" s="1" customFormat="1" ht="15.75" customHeight="1">
      <c r="A99" s="15"/>
      <c r="B99" s="15"/>
      <c r="C99" s="15"/>
      <c r="D99" s="15"/>
      <c r="E99" s="15"/>
      <c r="F99" s="15"/>
      <c r="G99" s="15"/>
      <c r="H99" s="15"/>
      <c r="I99" s="16"/>
      <c r="J99" s="16"/>
      <c r="K99" s="16"/>
      <c r="L99" s="16"/>
      <c r="M99" s="16"/>
    </row>
    <row r="100" spans="1:13" s="1" customFormat="1" ht="30" customHeight="1">
      <c r="A100" s="18" t="s">
        <v>0</v>
      </c>
      <c r="B100" s="18"/>
      <c r="C100" s="18"/>
      <c r="D100" s="19" t="s">
        <v>200</v>
      </c>
      <c r="E100" s="19" t="s">
        <v>201</v>
      </c>
      <c r="F100" s="19" t="s">
        <v>199</v>
      </c>
      <c r="G100" s="19" t="s">
        <v>1</v>
      </c>
      <c r="H100" s="19" t="s">
        <v>2</v>
      </c>
      <c r="I100" s="17" t="s">
        <v>3</v>
      </c>
      <c r="J100" s="17" t="s">
        <v>4</v>
      </c>
      <c r="K100" s="17" t="s">
        <v>5</v>
      </c>
      <c r="L100" s="17" t="s">
        <v>6</v>
      </c>
      <c r="M100" s="17" t="s">
        <v>7</v>
      </c>
    </row>
    <row r="101" spans="1:13" s="1" customFormat="1" ht="30" customHeight="1">
      <c r="A101" s="7" t="s">
        <v>8</v>
      </c>
      <c r="B101" s="7" t="s">
        <v>9</v>
      </c>
      <c r="C101" s="11" t="s">
        <v>190</v>
      </c>
      <c r="D101" s="19"/>
      <c r="E101" s="19"/>
      <c r="F101" s="19"/>
      <c r="G101" s="19"/>
      <c r="H101" s="19"/>
      <c r="I101" s="17"/>
      <c r="J101" s="17"/>
      <c r="K101" s="17"/>
      <c r="L101" s="17"/>
      <c r="M101" s="17"/>
    </row>
    <row r="102" spans="1:13" s="1" customFormat="1" ht="30" customHeight="1">
      <c r="A102" s="13">
        <f>B98</f>
        <v>49</v>
      </c>
      <c r="B102" s="13">
        <v>52</v>
      </c>
      <c r="C102" s="13">
        <f t="shared" ref="C102:C106" si="28">B102-A102</f>
        <v>3</v>
      </c>
      <c r="D102" s="13">
        <v>3</v>
      </c>
      <c r="E102" s="13">
        <v>3</v>
      </c>
      <c r="F102" s="13">
        <v>100</v>
      </c>
      <c r="G102" s="13">
        <f>G98+E102</f>
        <v>52</v>
      </c>
      <c r="H102" s="13">
        <v>48.88</v>
      </c>
      <c r="I102" s="14" t="s">
        <v>82</v>
      </c>
      <c r="J102" s="14" t="s">
        <v>44</v>
      </c>
      <c r="K102" s="14"/>
      <c r="L102" s="14" t="s">
        <v>57</v>
      </c>
      <c r="M102" s="14"/>
    </row>
    <row r="103" spans="1:13" s="1" customFormat="1" ht="30" customHeight="1">
      <c r="A103" s="8">
        <f t="shared" si="26"/>
        <v>52</v>
      </c>
      <c r="B103" s="8">
        <v>55</v>
      </c>
      <c r="C103" s="8">
        <f t="shared" si="28"/>
        <v>3</v>
      </c>
      <c r="D103" s="8">
        <v>0.6</v>
      </c>
      <c r="E103" s="8">
        <v>0.6</v>
      </c>
      <c r="F103" s="8">
        <v>100</v>
      </c>
      <c r="G103" s="8">
        <f t="shared" si="22"/>
        <v>52.6</v>
      </c>
      <c r="H103" s="8">
        <v>23.12</v>
      </c>
      <c r="I103" s="9" t="s">
        <v>82</v>
      </c>
      <c r="J103" s="9" t="s">
        <v>44</v>
      </c>
      <c r="K103" s="9"/>
      <c r="L103" s="9" t="s">
        <v>57</v>
      </c>
      <c r="M103" s="9"/>
    </row>
    <row r="104" spans="1:13" s="1" customFormat="1" ht="18" customHeight="1">
      <c r="A104" s="8"/>
      <c r="B104" s="8"/>
      <c r="C104" s="8"/>
      <c r="D104" s="8">
        <v>1.2</v>
      </c>
      <c r="E104" s="8">
        <v>1.2</v>
      </c>
      <c r="F104" s="8"/>
      <c r="G104" s="8">
        <f t="shared" si="22"/>
        <v>53.800000000000004</v>
      </c>
      <c r="H104" s="8"/>
      <c r="I104" s="9" t="s">
        <v>63</v>
      </c>
      <c r="J104" s="9" t="s">
        <v>26</v>
      </c>
      <c r="K104" s="9"/>
      <c r="L104" s="9"/>
      <c r="M104" s="9"/>
    </row>
    <row r="105" spans="1:13" s="1" customFormat="1" ht="18" customHeight="1">
      <c r="A105" s="8"/>
      <c r="B105" s="8"/>
      <c r="C105" s="8"/>
      <c r="D105" s="8">
        <v>1.2</v>
      </c>
      <c r="E105" s="8">
        <v>1.2</v>
      </c>
      <c r="F105" s="8"/>
      <c r="G105" s="8">
        <f t="shared" si="22"/>
        <v>55.000000000000007</v>
      </c>
      <c r="H105" s="8"/>
      <c r="I105" s="9" t="s">
        <v>43</v>
      </c>
      <c r="J105" s="9" t="s">
        <v>62</v>
      </c>
      <c r="K105" s="9"/>
      <c r="L105" s="9"/>
      <c r="M105" s="9"/>
    </row>
    <row r="106" spans="1:13" s="1" customFormat="1" ht="17.25" customHeight="1">
      <c r="A106" s="8">
        <f>B103</f>
        <v>55</v>
      </c>
      <c r="B106" s="8">
        <v>57</v>
      </c>
      <c r="C106" s="8">
        <f t="shared" si="28"/>
        <v>2</v>
      </c>
      <c r="D106" s="8">
        <v>2</v>
      </c>
      <c r="E106" s="8">
        <v>2</v>
      </c>
      <c r="F106" s="8">
        <v>100</v>
      </c>
      <c r="G106" s="8">
        <f t="shared" si="22"/>
        <v>57.000000000000007</v>
      </c>
      <c r="H106" s="8">
        <v>0</v>
      </c>
      <c r="I106" s="9" t="s">
        <v>43</v>
      </c>
      <c r="J106" s="9" t="s">
        <v>62</v>
      </c>
      <c r="K106" s="9"/>
      <c r="L106" s="9"/>
      <c r="M106" s="9"/>
    </row>
    <row r="108" spans="1:13" ht="21.75" customHeight="1">
      <c r="A108" s="20" t="s">
        <v>195</v>
      </c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1:13" s="4" customFormat="1">
      <c r="A109" s="4" t="s">
        <v>188</v>
      </c>
      <c r="B109" s="4" t="s">
        <v>160</v>
      </c>
      <c r="E109" s="5"/>
      <c r="I109" s="5"/>
      <c r="L109" s="4" t="s">
        <v>147</v>
      </c>
      <c r="M109" s="4" t="s">
        <v>162</v>
      </c>
    </row>
    <row r="110" spans="1:13" s="4" customFormat="1">
      <c r="A110" s="4" t="s">
        <v>189</v>
      </c>
      <c r="B110" s="4">
        <v>478250.55200000003</v>
      </c>
      <c r="L110" s="4" t="s">
        <v>148</v>
      </c>
      <c r="M110" s="4" t="s">
        <v>163</v>
      </c>
    </row>
    <row r="111" spans="1:13" s="4" customFormat="1">
      <c r="A111" s="4" t="s">
        <v>149</v>
      </c>
      <c r="B111" s="4" t="s">
        <v>161</v>
      </c>
      <c r="E111" s="5"/>
      <c r="F111" s="5"/>
      <c r="G111" s="5"/>
      <c r="H111" s="5"/>
      <c r="I111" s="5"/>
      <c r="L111" s="4" t="s">
        <v>150</v>
      </c>
      <c r="M111" s="6">
        <v>45</v>
      </c>
    </row>
    <row r="112" spans="1:13" ht="14.45" customHeight="1"/>
    <row r="113" spans="1:13" ht="15" customHeight="1">
      <c r="A113" s="18" t="s">
        <v>0</v>
      </c>
      <c r="B113" s="18"/>
      <c r="C113" s="18"/>
      <c r="D113" s="19" t="s">
        <v>200</v>
      </c>
      <c r="E113" s="19" t="s">
        <v>201</v>
      </c>
      <c r="F113" s="19" t="s">
        <v>199</v>
      </c>
      <c r="G113" s="19" t="s">
        <v>1</v>
      </c>
      <c r="H113" s="19" t="s">
        <v>2</v>
      </c>
      <c r="I113" s="17" t="s">
        <v>3</v>
      </c>
      <c r="J113" s="17" t="s">
        <v>4</v>
      </c>
      <c r="K113" s="17" t="s">
        <v>5</v>
      </c>
      <c r="L113" s="17" t="s">
        <v>6</v>
      </c>
      <c r="M113" s="17" t="s">
        <v>7</v>
      </c>
    </row>
    <row r="114" spans="1:13" ht="42" customHeight="1">
      <c r="A114" s="7" t="s">
        <v>8</v>
      </c>
      <c r="B114" s="7" t="s">
        <v>9</v>
      </c>
      <c r="C114" s="11" t="s">
        <v>190</v>
      </c>
      <c r="D114" s="19"/>
      <c r="E114" s="19"/>
      <c r="F114" s="19"/>
      <c r="G114" s="19"/>
      <c r="H114" s="19"/>
      <c r="I114" s="17"/>
      <c r="J114" s="17"/>
      <c r="K114" s="17"/>
      <c r="L114" s="17"/>
      <c r="M114" s="17"/>
    </row>
    <row r="115" spans="1:13">
      <c r="A115" s="8">
        <v>0</v>
      </c>
      <c r="B115" s="8">
        <v>3</v>
      </c>
      <c r="C115" s="8">
        <v>0.5</v>
      </c>
      <c r="D115" s="8" t="s">
        <v>10</v>
      </c>
      <c r="E115" s="8">
        <v>2.5</v>
      </c>
      <c r="F115" s="8">
        <f>0.4/3*100</f>
        <v>13.333333333333334</v>
      </c>
      <c r="G115" s="8">
        <v>2.5</v>
      </c>
      <c r="H115" s="8">
        <v>0</v>
      </c>
      <c r="I115" s="9" t="s">
        <v>17</v>
      </c>
      <c r="J115" s="9" t="s">
        <v>13</v>
      </c>
      <c r="K115" s="9"/>
      <c r="L115" s="9"/>
      <c r="M115" s="9"/>
    </row>
    <row r="116" spans="1:13">
      <c r="A116" s="8"/>
      <c r="B116" s="8"/>
      <c r="C116" s="8"/>
      <c r="D116" s="8">
        <v>0.4</v>
      </c>
      <c r="E116" s="8">
        <v>0.5</v>
      </c>
      <c r="F116" s="8"/>
      <c r="G116" s="8">
        <v>3</v>
      </c>
      <c r="H116" s="8"/>
      <c r="I116" s="9" t="s">
        <v>83</v>
      </c>
      <c r="J116" s="9" t="s">
        <v>37</v>
      </c>
      <c r="K116" s="9"/>
      <c r="L116" s="9"/>
      <c r="M116" s="9"/>
    </row>
    <row r="117" spans="1:13">
      <c r="A117" s="8">
        <f>B115</f>
        <v>3</v>
      </c>
      <c r="B117" s="8">
        <v>4</v>
      </c>
      <c r="C117" s="8">
        <f t="shared" ref="C117:C120" si="29">B117-A117</f>
        <v>1</v>
      </c>
      <c r="D117" s="8">
        <v>0.3</v>
      </c>
      <c r="E117" s="8">
        <v>1</v>
      </c>
      <c r="F117" s="8">
        <f>D117/E117*100</f>
        <v>30</v>
      </c>
      <c r="G117" s="8">
        <v>4</v>
      </c>
      <c r="H117" s="8">
        <v>0</v>
      </c>
      <c r="I117" s="9" t="s">
        <v>83</v>
      </c>
      <c r="J117" s="9" t="s">
        <v>37</v>
      </c>
      <c r="K117" s="9" t="s">
        <v>11</v>
      </c>
      <c r="L117" s="9"/>
      <c r="M117" s="9" t="s">
        <v>20</v>
      </c>
    </row>
    <row r="118" spans="1:13">
      <c r="A118" s="8">
        <f t="shared" ref="A118" si="30">B117</f>
        <v>4</v>
      </c>
      <c r="B118" s="8">
        <v>7</v>
      </c>
      <c r="C118" s="8">
        <f t="shared" si="29"/>
        <v>3</v>
      </c>
      <c r="D118" s="8">
        <v>1</v>
      </c>
      <c r="E118" s="8">
        <f>D118*3/2.4</f>
        <v>1.25</v>
      </c>
      <c r="F118" s="8">
        <f>2.4/3*100</f>
        <v>80</v>
      </c>
      <c r="G118" s="8">
        <f>G117+E118</f>
        <v>5.25</v>
      </c>
      <c r="H118" s="8">
        <v>0</v>
      </c>
      <c r="I118" s="9" t="s">
        <v>67</v>
      </c>
      <c r="J118" s="9" t="s">
        <v>19</v>
      </c>
      <c r="K118" s="9" t="s">
        <v>11</v>
      </c>
      <c r="L118" s="9" t="s">
        <v>143</v>
      </c>
      <c r="M118" s="9" t="s">
        <v>20</v>
      </c>
    </row>
    <row r="119" spans="1:13">
      <c r="A119" s="8"/>
      <c r="B119" s="8"/>
      <c r="C119" s="8"/>
      <c r="D119" s="8">
        <v>1.4</v>
      </c>
      <c r="E119" s="8">
        <f>D119*3/2.4</f>
        <v>1.7499999999999998</v>
      </c>
      <c r="F119" s="8"/>
      <c r="G119" s="8">
        <f>G118+E119</f>
        <v>7</v>
      </c>
      <c r="H119" s="8"/>
      <c r="I119" s="9" t="s">
        <v>69</v>
      </c>
      <c r="J119" s="9" t="s">
        <v>70</v>
      </c>
      <c r="K119" s="9"/>
      <c r="L119" s="9" t="s">
        <v>143</v>
      </c>
      <c r="M119" s="9"/>
    </row>
    <row r="120" spans="1:13" ht="30">
      <c r="A120" s="8">
        <f>B118</f>
        <v>7</v>
      </c>
      <c r="B120" s="8">
        <v>10</v>
      </c>
      <c r="C120" s="8">
        <f t="shared" si="29"/>
        <v>3</v>
      </c>
      <c r="D120" s="8">
        <v>1.5</v>
      </c>
      <c r="E120" s="8">
        <v>1.5</v>
      </c>
      <c r="F120" s="8">
        <v>100</v>
      </c>
      <c r="G120" s="8">
        <f t="shared" ref="G120:G138" si="31">G119+E120</f>
        <v>8.5</v>
      </c>
      <c r="H120" s="8">
        <v>0</v>
      </c>
      <c r="I120" s="9" t="s">
        <v>84</v>
      </c>
      <c r="J120" s="9" t="s">
        <v>70</v>
      </c>
      <c r="K120" s="9"/>
      <c r="L120" s="9" t="s">
        <v>143</v>
      </c>
      <c r="M120" s="9" t="s">
        <v>20</v>
      </c>
    </row>
    <row r="121" spans="1:13">
      <c r="A121" s="8"/>
      <c r="B121" s="8"/>
      <c r="C121" s="8"/>
      <c r="D121" s="8">
        <v>1.5</v>
      </c>
      <c r="E121" s="8">
        <v>1.5</v>
      </c>
      <c r="F121" s="8"/>
      <c r="G121" s="8">
        <f t="shared" si="31"/>
        <v>10</v>
      </c>
      <c r="H121" s="8"/>
      <c r="I121" s="9" t="s">
        <v>74</v>
      </c>
      <c r="J121" s="9" t="s">
        <v>85</v>
      </c>
      <c r="K121" s="9"/>
      <c r="L121" s="9"/>
      <c r="M121" s="9"/>
    </row>
    <row r="122" spans="1:13">
      <c r="A122" s="8">
        <f>B120</f>
        <v>10</v>
      </c>
      <c r="B122" s="8">
        <v>13</v>
      </c>
      <c r="C122" s="8">
        <f>B122-A122</f>
        <v>3</v>
      </c>
      <c r="D122" s="8">
        <v>0.65</v>
      </c>
      <c r="E122" s="8">
        <f>D122*3/2.65</f>
        <v>0.73584905660377364</v>
      </c>
      <c r="F122" s="8">
        <f>2.65/3*100</f>
        <v>88.333333333333329</v>
      </c>
      <c r="G122" s="8">
        <f t="shared" si="31"/>
        <v>10.735849056603774</v>
      </c>
      <c r="H122" s="8">
        <v>9.1199999999999992</v>
      </c>
      <c r="I122" s="9" t="s">
        <v>74</v>
      </c>
      <c r="J122" s="9" t="s">
        <v>85</v>
      </c>
      <c r="K122" s="9"/>
      <c r="L122" s="9"/>
      <c r="M122" s="9"/>
    </row>
    <row r="123" spans="1:13">
      <c r="A123" s="8"/>
      <c r="B123" s="8"/>
      <c r="C123" s="8"/>
      <c r="D123" s="8">
        <v>0.9</v>
      </c>
      <c r="E123" s="8">
        <f t="shared" ref="E123:E125" si="32">D123*3/2.65</f>
        <v>1.0188679245283019</v>
      </c>
      <c r="F123" s="8"/>
      <c r="G123" s="8">
        <f t="shared" si="31"/>
        <v>11.754716981132075</v>
      </c>
      <c r="H123" s="8"/>
      <c r="I123" s="9" t="s">
        <v>86</v>
      </c>
      <c r="J123" s="9"/>
      <c r="K123" s="9"/>
      <c r="L123" s="9"/>
      <c r="M123" s="9"/>
    </row>
    <row r="124" spans="1:13">
      <c r="A124" s="8"/>
      <c r="B124" s="8"/>
      <c r="C124" s="8"/>
      <c r="D124" s="8">
        <v>0.6</v>
      </c>
      <c r="E124" s="8">
        <f t="shared" si="32"/>
        <v>0.67924528301886788</v>
      </c>
      <c r="F124" s="8"/>
      <c r="G124" s="8">
        <f t="shared" si="31"/>
        <v>12.433962264150944</v>
      </c>
      <c r="H124" s="8"/>
      <c r="I124" s="9" t="s">
        <v>87</v>
      </c>
      <c r="J124" s="9"/>
      <c r="K124" s="9"/>
      <c r="L124" s="9"/>
      <c r="M124" s="9"/>
    </row>
    <row r="125" spans="1:13">
      <c r="A125" s="8"/>
      <c r="B125" s="8"/>
      <c r="C125" s="8"/>
      <c r="D125" s="8">
        <v>0.5</v>
      </c>
      <c r="E125" s="8">
        <f t="shared" si="32"/>
        <v>0.56603773584905659</v>
      </c>
      <c r="F125" s="8"/>
      <c r="G125" s="8">
        <f t="shared" si="31"/>
        <v>13</v>
      </c>
      <c r="H125" s="8"/>
      <c r="I125" s="9" t="s">
        <v>88</v>
      </c>
      <c r="J125" s="9" t="s">
        <v>89</v>
      </c>
      <c r="K125" s="9"/>
      <c r="L125" s="9"/>
      <c r="M125" s="9"/>
    </row>
    <row r="126" spans="1:13">
      <c r="A126" s="8">
        <f>B122</f>
        <v>13</v>
      </c>
      <c r="B126" s="8">
        <v>16</v>
      </c>
      <c r="C126" s="8">
        <f>B126-A126</f>
        <v>3</v>
      </c>
      <c r="D126" s="8">
        <v>3</v>
      </c>
      <c r="E126" s="8">
        <v>3</v>
      </c>
      <c r="F126" s="8">
        <v>100</v>
      </c>
      <c r="G126" s="8">
        <f t="shared" si="31"/>
        <v>16</v>
      </c>
      <c r="H126" s="8">
        <v>0</v>
      </c>
      <c r="I126" s="9" t="s">
        <v>88</v>
      </c>
      <c r="J126" s="9" t="s">
        <v>89</v>
      </c>
      <c r="K126" s="9"/>
      <c r="L126" s="9"/>
      <c r="M126" s="9"/>
    </row>
    <row r="127" spans="1:13">
      <c r="A127" s="8">
        <f>B126</f>
        <v>16</v>
      </c>
      <c r="B127" s="8">
        <v>19</v>
      </c>
      <c r="C127" s="8">
        <f>B127-A127</f>
        <v>3</v>
      </c>
      <c r="D127" s="8">
        <v>0.5</v>
      </c>
      <c r="E127" s="8">
        <v>0.5</v>
      </c>
      <c r="F127" s="8">
        <v>100</v>
      </c>
      <c r="G127" s="8">
        <f t="shared" si="31"/>
        <v>16.5</v>
      </c>
      <c r="H127" s="8">
        <v>0</v>
      </c>
      <c r="I127" s="9" t="s">
        <v>88</v>
      </c>
      <c r="J127" s="9" t="s">
        <v>89</v>
      </c>
      <c r="K127" s="9"/>
      <c r="L127" s="9"/>
      <c r="M127" s="9"/>
    </row>
    <row r="128" spans="1:13">
      <c r="A128" s="8"/>
      <c r="B128" s="8"/>
      <c r="C128" s="8"/>
      <c r="D128" s="8">
        <v>2.5</v>
      </c>
      <c r="E128" s="8">
        <v>2.5</v>
      </c>
      <c r="F128" s="8"/>
      <c r="G128" s="8">
        <f t="shared" si="31"/>
        <v>19</v>
      </c>
      <c r="H128" s="8"/>
      <c r="I128" s="9" t="s">
        <v>50</v>
      </c>
      <c r="J128" s="9" t="s">
        <v>26</v>
      </c>
      <c r="K128" s="9"/>
      <c r="L128" s="9"/>
      <c r="M128" s="9"/>
    </row>
    <row r="129" spans="1:13">
      <c r="A129" s="8">
        <f>B127</f>
        <v>19</v>
      </c>
      <c r="B129" s="8">
        <v>22</v>
      </c>
      <c r="C129" s="8">
        <f t="shared" ref="C129" si="33">B129-A129</f>
        <v>3</v>
      </c>
      <c r="D129" s="8">
        <v>0.9</v>
      </c>
      <c r="E129" s="8">
        <v>0.9</v>
      </c>
      <c r="F129" s="8">
        <v>100</v>
      </c>
      <c r="G129" s="8">
        <f t="shared" si="31"/>
        <v>19.899999999999999</v>
      </c>
      <c r="H129" s="8">
        <v>27.82</v>
      </c>
      <c r="I129" s="9" t="s">
        <v>50</v>
      </c>
      <c r="J129" s="9" t="s">
        <v>26</v>
      </c>
      <c r="K129" s="9"/>
      <c r="L129" s="9"/>
      <c r="M129" s="9"/>
    </row>
    <row r="130" spans="1:13" ht="30">
      <c r="A130" s="8"/>
      <c r="B130" s="8"/>
      <c r="C130" s="8"/>
      <c r="D130" s="8">
        <v>1.1000000000000001</v>
      </c>
      <c r="E130" s="8">
        <v>1.1000000000000001</v>
      </c>
      <c r="F130" s="8"/>
      <c r="G130" s="8">
        <f t="shared" si="31"/>
        <v>21</v>
      </c>
      <c r="H130" s="8"/>
      <c r="I130" s="9" t="s">
        <v>32</v>
      </c>
      <c r="J130" s="9" t="s">
        <v>33</v>
      </c>
      <c r="K130" s="9"/>
      <c r="L130" s="9" t="s">
        <v>31</v>
      </c>
      <c r="M130" s="9"/>
    </row>
    <row r="131" spans="1:13" ht="30">
      <c r="A131" s="8"/>
      <c r="B131" s="8"/>
      <c r="C131" s="8"/>
      <c r="D131" s="8">
        <v>1</v>
      </c>
      <c r="E131" s="8">
        <v>1</v>
      </c>
      <c r="F131" s="8"/>
      <c r="G131" s="8">
        <f t="shared" si="31"/>
        <v>22</v>
      </c>
      <c r="H131" s="8"/>
      <c r="I131" s="9" t="s">
        <v>82</v>
      </c>
      <c r="J131" s="9" t="s">
        <v>44</v>
      </c>
      <c r="K131" s="9"/>
      <c r="L131" s="9" t="s">
        <v>57</v>
      </c>
      <c r="M131" s="9"/>
    </row>
    <row r="132" spans="1:13" ht="30">
      <c r="A132" s="8">
        <f>B129</f>
        <v>22</v>
      </c>
      <c r="B132" s="8">
        <v>25</v>
      </c>
      <c r="C132" s="8">
        <v>3</v>
      </c>
      <c r="D132" s="8">
        <v>3</v>
      </c>
      <c r="E132" s="8">
        <v>3</v>
      </c>
      <c r="F132" s="8">
        <v>100</v>
      </c>
      <c r="G132" s="8">
        <f t="shared" si="31"/>
        <v>25</v>
      </c>
      <c r="H132" s="8">
        <v>58.12</v>
      </c>
      <c r="I132" s="9" t="s">
        <v>53</v>
      </c>
      <c r="J132" s="9" t="s">
        <v>45</v>
      </c>
      <c r="K132" s="9" t="s">
        <v>81</v>
      </c>
      <c r="L132" s="9" t="s">
        <v>57</v>
      </c>
      <c r="M132" s="9"/>
    </row>
    <row r="133" spans="1:13" ht="30">
      <c r="A133" s="8">
        <f>B132</f>
        <v>25</v>
      </c>
      <c r="B133" s="8">
        <v>28</v>
      </c>
      <c r="C133" s="8">
        <v>3</v>
      </c>
      <c r="D133" s="8">
        <v>3</v>
      </c>
      <c r="E133" s="8">
        <v>3</v>
      </c>
      <c r="F133" s="8">
        <v>100</v>
      </c>
      <c r="G133" s="8">
        <f t="shared" si="31"/>
        <v>28</v>
      </c>
      <c r="H133" s="8">
        <v>84.56</v>
      </c>
      <c r="I133" s="9" t="s">
        <v>82</v>
      </c>
      <c r="J133" s="9" t="s">
        <v>44</v>
      </c>
      <c r="K133" s="9"/>
      <c r="L133" s="9" t="s">
        <v>57</v>
      </c>
      <c r="M133" s="9"/>
    </row>
    <row r="134" spans="1:13" ht="30">
      <c r="A134" s="8">
        <f>B133</f>
        <v>28</v>
      </c>
      <c r="B134" s="8">
        <v>31</v>
      </c>
      <c r="C134" s="8">
        <f t="shared" ref="C134" si="34">B134-A134</f>
        <v>3</v>
      </c>
      <c r="D134" s="8">
        <v>3</v>
      </c>
      <c r="E134" s="8">
        <v>3</v>
      </c>
      <c r="F134" s="8">
        <v>100</v>
      </c>
      <c r="G134" s="8">
        <f t="shared" si="31"/>
        <v>31</v>
      </c>
      <c r="H134" s="8">
        <v>75.400000000000006</v>
      </c>
      <c r="I134" s="9" t="s">
        <v>82</v>
      </c>
      <c r="J134" s="9" t="s">
        <v>44</v>
      </c>
      <c r="K134" s="9"/>
      <c r="L134" s="9" t="s">
        <v>57</v>
      </c>
      <c r="M134" s="9"/>
    </row>
    <row r="135" spans="1:13" ht="30">
      <c r="A135" s="8">
        <f>B134</f>
        <v>31</v>
      </c>
      <c r="B135" s="8">
        <v>34</v>
      </c>
      <c r="C135" s="8">
        <v>3</v>
      </c>
      <c r="D135" s="8">
        <v>3</v>
      </c>
      <c r="E135" s="8">
        <v>3</v>
      </c>
      <c r="F135" s="8">
        <f>2/2*100</f>
        <v>100</v>
      </c>
      <c r="G135" s="8">
        <f t="shared" si="31"/>
        <v>34</v>
      </c>
      <c r="H135" s="8">
        <v>48.87</v>
      </c>
      <c r="I135" s="9" t="s">
        <v>82</v>
      </c>
      <c r="J135" s="9" t="s">
        <v>44</v>
      </c>
      <c r="K135" s="9"/>
      <c r="L135" s="9" t="s">
        <v>57</v>
      </c>
      <c r="M135" s="9"/>
    </row>
    <row r="136" spans="1:13" ht="30">
      <c r="A136" s="13">
        <f>B135</f>
        <v>34</v>
      </c>
      <c r="B136" s="13">
        <v>37</v>
      </c>
      <c r="C136" s="13">
        <v>3</v>
      </c>
      <c r="D136" s="13">
        <v>3</v>
      </c>
      <c r="E136" s="13">
        <v>3</v>
      </c>
      <c r="F136" s="13">
        <f>SUM(D136)*100/3</f>
        <v>100</v>
      </c>
      <c r="G136" s="13">
        <f>G135+E136</f>
        <v>37</v>
      </c>
      <c r="H136" s="13">
        <v>65.48</v>
      </c>
      <c r="I136" s="14" t="s">
        <v>82</v>
      </c>
      <c r="J136" s="14" t="s">
        <v>44</v>
      </c>
      <c r="K136" s="14"/>
      <c r="L136" s="14" t="s">
        <v>57</v>
      </c>
      <c r="M136" s="14"/>
    </row>
    <row r="137" spans="1:13" ht="30">
      <c r="A137" s="8">
        <f t="shared" ref="A137" si="35">B136</f>
        <v>37</v>
      </c>
      <c r="B137" s="8">
        <v>40</v>
      </c>
      <c r="C137" s="8">
        <v>3</v>
      </c>
      <c r="D137" s="8">
        <v>3</v>
      </c>
      <c r="E137" s="8">
        <v>3</v>
      </c>
      <c r="F137" s="8">
        <v>100</v>
      </c>
      <c r="G137" s="8">
        <f t="shared" si="31"/>
        <v>40</v>
      </c>
      <c r="H137" s="8">
        <v>59.1</v>
      </c>
      <c r="I137" s="9" t="s">
        <v>82</v>
      </c>
      <c r="J137" s="9" t="s">
        <v>44</v>
      </c>
      <c r="K137" s="9"/>
      <c r="L137" s="9" t="s">
        <v>57</v>
      </c>
      <c r="M137" s="9"/>
    </row>
    <row r="138" spans="1:13" ht="30">
      <c r="A138" s="8">
        <f>B137</f>
        <v>40</v>
      </c>
      <c r="B138" s="8">
        <v>43</v>
      </c>
      <c r="C138" s="8">
        <v>3</v>
      </c>
      <c r="D138" s="8">
        <v>1.5</v>
      </c>
      <c r="E138" s="8">
        <v>3</v>
      </c>
      <c r="F138" s="8">
        <f t="shared" ref="F138" si="36">SUM(D138)*100/3</f>
        <v>50</v>
      </c>
      <c r="G138" s="8">
        <f t="shared" si="31"/>
        <v>43</v>
      </c>
      <c r="H138" s="8">
        <v>38.14</v>
      </c>
      <c r="I138" s="9" t="s">
        <v>82</v>
      </c>
      <c r="J138" s="9" t="s">
        <v>44</v>
      </c>
      <c r="K138" s="9"/>
      <c r="L138" s="9" t="s">
        <v>57</v>
      </c>
      <c r="M138" s="9"/>
    </row>
    <row r="139" spans="1:13">
      <c r="A139" s="8"/>
      <c r="B139" s="8"/>
      <c r="C139" s="8"/>
      <c r="D139" s="8">
        <v>1.5</v>
      </c>
      <c r="E139" s="8"/>
      <c r="F139" s="8"/>
      <c r="G139" s="8"/>
      <c r="H139" s="8"/>
      <c r="I139" s="9" t="s">
        <v>63</v>
      </c>
      <c r="J139" s="9"/>
      <c r="K139" s="9"/>
      <c r="L139" s="9"/>
      <c r="M139" s="9"/>
    </row>
    <row r="140" spans="1:13">
      <c r="A140" s="8">
        <f>B138</f>
        <v>43</v>
      </c>
      <c r="B140" s="8">
        <v>45</v>
      </c>
      <c r="C140" s="8">
        <v>2</v>
      </c>
      <c r="D140" s="8">
        <v>2</v>
      </c>
      <c r="E140" s="8">
        <v>2</v>
      </c>
      <c r="F140" s="8">
        <v>100</v>
      </c>
      <c r="G140" s="8">
        <f>G138+E140</f>
        <v>45</v>
      </c>
      <c r="H140" s="8">
        <v>0</v>
      </c>
      <c r="I140" s="9" t="s">
        <v>63</v>
      </c>
      <c r="J140" s="9" t="s">
        <v>26</v>
      </c>
      <c r="K140" s="9"/>
      <c r="L140" s="9" t="s">
        <v>57</v>
      </c>
      <c r="M140" s="9"/>
    </row>
    <row r="142" spans="1:13" ht="21" customHeight="1">
      <c r="A142" s="20" t="s">
        <v>194</v>
      </c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</row>
    <row r="143" spans="1:13" s="4" customFormat="1">
      <c r="A143" s="4" t="s">
        <v>188</v>
      </c>
      <c r="B143" s="4" t="s">
        <v>164</v>
      </c>
      <c r="E143" s="5"/>
      <c r="I143" s="5"/>
      <c r="L143" s="4" t="s">
        <v>147</v>
      </c>
      <c r="M143" s="4" t="s">
        <v>165</v>
      </c>
    </row>
    <row r="144" spans="1:13" s="4" customFormat="1">
      <c r="A144" s="4" t="s">
        <v>189</v>
      </c>
      <c r="B144" s="4">
        <v>478673.46399999998</v>
      </c>
      <c r="L144" s="4" t="s">
        <v>148</v>
      </c>
      <c r="M144" s="4" t="s">
        <v>166</v>
      </c>
    </row>
    <row r="145" spans="1:13" s="4" customFormat="1">
      <c r="A145" s="4" t="s">
        <v>149</v>
      </c>
      <c r="B145" s="4" t="s">
        <v>167</v>
      </c>
      <c r="E145" s="5"/>
      <c r="F145" s="5"/>
      <c r="G145" s="5"/>
      <c r="H145" s="5"/>
      <c r="I145" s="5"/>
      <c r="L145" s="4" t="s">
        <v>150</v>
      </c>
      <c r="M145" s="6">
        <v>56</v>
      </c>
    </row>
    <row r="146" spans="1:13" ht="14.45" customHeight="1"/>
    <row r="147" spans="1:13" ht="15" customHeight="1">
      <c r="A147" s="18" t="s">
        <v>0</v>
      </c>
      <c r="B147" s="18"/>
      <c r="C147" s="18"/>
      <c r="D147" s="19" t="s">
        <v>200</v>
      </c>
      <c r="E147" s="19" t="s">
        <v>201</v>
      </c>
      <c r="F147" s="19" t="s">
        <v>199</v>
      </c>
      <c r="G147" s="19" t="s">
        <v>1</v>
      </c>
      <c r="H147" s="19" t="s">
        <v>2</v>
      </c>
      <c r="I147" s="17" t="s">
        <v>3</v>
      </c>
      <c r="J147" s="17" t="s">
        <v>4</v>
      </c>
      <c r="K147" s="17" t="s">
        <v>5</v>
      </c>
      <c r="L147" s="17" t="s">
        <v>6</v>
      </c>
      <c r="M147" s="17" t="s">
        <v>7</v>
      </c>
    </row>
    <row r="148" spans="1:13" ht="45.75" customHeight="1">
      <c r="A148" s="7" t="s">
        <v>8</v>
      </c>
      <c r="B148" s="7" t="s">
        <v>9</v>
      </c>
      <c r="C148" s="11" t="s">
        <v>190</v>
      </c>
      <c r="D148" s="19"/>
      <c r="E148" s="19"/>
      <c r="F148" s="19"/>
      <c r="G148" s="19"/>
      <c r="H148" s="19"/>
      <c r="I148" s="17"/>
      <c r="J148" s="17"/>
      <c r="K148" s="17"/>
      <c r="L148" s="17"/>
      <c r="M148" s="17"/>
    </row>
    <row r="149" spans="1:13">
      <c r="A149" s="8">
        <v>0</v>
      </c>
      <c r="B149" s="8">
        <v>3</v>
      </c>
      <c r="C149" s="8">
        <v>0.5</v>
      </c>
      <c r="D149" s="8" t="s">
        <v>10</v>
      </c>
      <c r="E149" s="8">
        <v>2.7</v>
      </c>
      <c r="F149" s="8">
        <f>0.25/3*100</f>
        <v>8.3333333333333321</v>
      </c>
      <c r="G149" s="8">
        <v>2.7</v>
      </c>
      <c r="H149" s="8">
        <v>0</v>
      </c>
      <c r="I149" s="9" t="s">
        <v>17</v>
      </c>
      <c r="J149" s="9" t="s">
        <v>13</v>
      </c>
      <c r="K149" s="9"/>
      <c r="L149" s="9"/>
      <c r="M149" s="9"/>
    </row>
    <row r="150" spans="1:13">
      <c r="A150" s="8"/>
      <c r="B150" s="8"/>
      <c r="C150" s="8"/>
      <c r="D150" s="8">
        <v>0.25</v>
      </c>
      <c r="E150" s="8">
        <v>0.3</v>
      </c>
      <c r="F150" s="8"/>
      <c r="G150" s="8">
        <v>3</v>
      </c>
      <c r="H150" s="8"/>
      <c r="I150" s="9" t="s">
        <v>92</v>
      </c>
      <c r="J150" s="9" t="s">
        <v>19</v>
      </c>
      <c r="K150" s="9"/>
      <c r="L150" s="9"/>
      <c r="M150" s="9"/>
    </row>
    <row r="151" spans="1:13">
      <c r="A151" s="8">
        <f>B149</f>
        <v>3</v>
      </c>
      <c r="B151" s="8">
        <v>4</v>
      </c>
      <c r="C151" s="8">
        <f t="shared" ref="C151:C152" si="37">B151-A151</f>
        <v>1</v>
      </c>
      <c r="D151" s="8">
        <v>0.4</v>
      </c>
      <c r="E151" s="8">
        <v>1</v>
      </c>
      <c r="F151" s="8">
        <f>D151/E151*100</f>
        <v>40</v>
      </c>
      <c r="G151" s="8">
        <v>4</v>
      </c>
      <c r="H151" s="8">
        <v>0</v>
      </c>
      <c r="I151" s="9" t="s">
        <v>92</v>
      </c>
      <c r="J151" s="9" t="s">
        <v>19</v>
      </c>
      <c r="K151" s="9" t="s">
        <v>11</v>
      </c>
      <c r="L151" s="9"/>
      <c r="M151" s="9" t="s">
        <v>20</v>
      </c>
    </row>
    <row r="152" spans="1:13">
      <c r="A152" s="8">
        <f t="shared" ref="A152" si="38">B151</f>
        <v>4</v>
      </c>
      <c r="B152" s="8">
        <v>7</v>
      </c>
      <c r="C152" s="8">
        <f t="shared" si="37"/>
        <v>3</v>
      </c>
      <c r="D152" s="8">
        <v>0.8</v>
      </c>
      <c r="E152" s="8">
        <v>3</v>
      </c>
      <c r="F152" s="8">
        <f>0.8/3*100</f>
        <v>26.666666666666668</v>
      </c>
      <c r="G152" s="8">
        <f>G151+E152</f>
        <v>7</v>
      </c>
      <c r="H152" s="8">
        <v>0</v>
      </c>
      <c r="I152" s="9" t="s">
        <v>92</v>
      </c>
      <c r="J152" s="9" t="s">
        <v>19</v>
      </c>
      <c r="K152" s="9" t="s">
        <v>11</v>
      </c>
      <c r="L152" s="9"/>
      <c r="M152" s="9" t="s">
        <v>20</v>
      </c>
    </row>
    <row r="153" spans="1:13">
      <c r="A153" s="8">
        <f>B152</f>
        <v>7</v>
      </c>
      <c r="B153" s="8">
        <v>10</v>
      </c>
      <c r="C153" s="8">
        <f t="shared" ref="C153" si="39">B153-A153</f>
        <v>3</v>
      </c>
      <c r="D153" s="8">
        <v>1.65</v>
      </c>
      <c r="E153" s="8">
        <v>3</v>
      </c>
      <c r="F153" s="8">
        <f>D153/3*100</f>
        <v>54.999999999999993</v>
      </c>
      <c r="G153" s="8">
        <f t="shared" ref="G153:G169" si="40">G152+E153</f>
        <v>10</v>
      </c>
      <c r="H153" s="8">
        <v>0</v>
      </c>
      <c r="I153" s="9" t="s">
        <v>93</v>
      </c>
      <c r="J153" s="9" t="s">
        <v>70</v>
      </c>
      <c r="K153" s="9"/>
      <c r="L153" s="9" t="s">
        <v>143</v>
      </c>
      <c r="M153" s="9" t="s">
        <v>20</v>
      </c>
    </row>
    <row r="154" spans="1:13" ht="30">
      <c r="A154" s="8">
        <f>B153</f>
        <v>10</v>
      </c>
      <c r="B154" s="8">
        <v>13</v>
      </c>
      <c r="C154" s="8">
        <f>B154-A154</f>
        <v>3</v>
      </c>
      <c r="D154" s="8">
        <v>2</v>
      </c>
      <c r="E154" s="8">
        <v>3</v>
      </c>
      <c r="F154" s="8">
        <f>D154/3*100</f>
        <v>66.666666666666657</v>
      </c>
      <c r="G154" s="8">
        <f t="shared" si="40"/>
        <v>13</v>
      </c>
      <c r="H154" s="8">
        <v>8.7799999999999994</v>
      </c>
      <c r="I154" s="9" t="s">
        <v>94</v>
      </c>
      <c r="J154" s="9" t="s">
        <v>85</v>
      </c>
      <c r="K154" s="9"/>
      <c r="L154" s="9" t="s">
        <v>143</v>
      </c>
      <c r="M154" s="9" t="s">
        <v>95</v>
      </c>
    </row>
    <row r="155" spans="1:13" ht="30">
      <c r="A155" s="8">
        <f>B154</f>
        <v>13</v>
      </c>
      <c r="B155" s="8">
        <v>16</v>
      </c>
      <c r="C155" s="8">
        <f>B155-A155</f>
        <v>3</v>
      </c>
      <c r="D155" s="8">
        <v>2.7</v>
      </c>
      <c r="E155" s="8">
        <v>3</v>
      </c>
      <c r="F155" s="8">
        <f>D155/3*100</f>
        <v>90</v>
      </c>
      <c r="G155" s="8">
        <f t="shared" si="40"/>
        <v>16</v>
      </c>
      <c r="H155" s="8">
        <v>12.28</v>
      </c>
      <c r="I155" s="9" t="s">
        <v>84</v>
      </c>
      <c r="J155" s="9" t="s">
        <v>70</v>
      </c>
      <c r="K155" s="9"/>
      <c r="L155" s="9"/>
      <c r="M155" s="9" t="s">
        <v>95</v>
      </c>
    </row>
    <row r="156" spans="1:13" ht="30">
      <c r="A156" s="8">
        <f>B155</f>
        <v>16</v>
      </c>
      <c r="B156" s="8">
        <v>19</v>
      </c>
      <c r="C156" s="8">
        <f>B156-A156</f>
        <v>3</v>
      </c>
      <c r="D156" s="8">
        <v>0.7</v>
      </c>
      <c r="E156" s="8">
        <f>D156*3/2.7</f>
        <v>0.77777777777777757</v>
      </c>
      <c r="F156" s="8">
        <v>90</v>
      </c>
      <c r="G156" s="8">
        <f t="shared" si="40"/>
        <v>16.777777777777779</v>
      </c>
      <c r="H156" s="8">
        <v>0</v>
      </c>
      <c r="I156" s="9" t="s">
        <v>84</v>
      </c>
      <c r="J156" s="9" t="s">
        <v>70</v>
      </c>
      <c r="K156" s="9"/>
      <c r="L156" s="9"/>
      <c r="M156" s="9" t="s">
        <v>95</v>
      </c>
    </row>
    <row r="157" spans="1:13" ht="30">
      <c r="A157" s="8"/>
      <c r="B157" s="8"/>
      <c r="C157" s="8"/>
      <c r="D157" s="8">
        <v>2</v>
      </c>
      <c r="E157" s="8">
        <f>D157*3/2.7</f>
        <v>2.2222222222222219</v>
      </c>
      <c r="F157" s="8"/>
      <c r="G157" s="8">
        <f t="shared" si="40"/>
        <v>19</v>
      </c>
      <c r="H157" s="8"/>
      <c r="I157" s="9" t="s">
        <v>23</v>
      </c>
      <c r="J157" s="9" t="s">
        <v>24</v>
      </c>
      <c r="K157" s="9"/>
      <c r="L157" s="9"/>
      <c r="M157" s="9"/>
    </row>
    <row r="158" spans="1:13" ht="30">
      <c r="A158" s="8">
        <f>B156</f>
        <v>19</v>
      </c>
      <c r="B158" s="8">
        <v>22</v>
      </c>
      <c r="C158" s="8">
        <f t="shared" ref="C158" si="41">B158-A158</f>
        <v>3</v>
      </c>
      <c r="D158" s="8">
        <v>1.1000000000000001</v>
      </c>
      <c r="E158" s="8">
        <v>3</v>
      </c>
      <c r="F158" s="8">
        <f>D158/3*100</f>
        <v>36.666666666666671</v>
      </c>
      <c r="G158" s="8">
        <f t="shared" si="40"/>
        <v>22</v>
      </c>
      <c r="H158" s="8">
        <v>0</v>
      </c>
      <c r="I158" s="9" t="s">
        <v>23</v>
      </c>
      <c r="J158" s="9" t="s">
        <v>24</v>
      </c>
      <c r="K158" s="9"/>
      <c r="L158" s="9"/>
      <c r="M158" s="9"/>
    </row>
    <row r="159" spans="1:13">
      <c r="A159" s="8">
        <f>B158</f>
        <v>22</v>
      </c>
      <c r="B159" s="8">
        <v>25</v>
      </c>
      <c r="C159" s="8">
        <v>3</v>
      </c>
      <c r="D159" s="8">
        <v>0.3</v>
      </c>
      <c r="E159" s="8">
        <f>D159*3/0.95</f>
        <v>0.94736842105263153</v>
      </c>
      <c r="F159" s="8">
        <f>0.95/3*100</f>
        <v>31.666666666666664</v>
      </c>
      <c r="G159" s="8">
        <f t="shared" si="40"/>
        <v>22.94736842105263</v>
      </c>
      <c r="H159" s="8">
        <v>0</v>
      </c>
      <c r="I159" s="9" t="s">
        <v>97</v>
      </c>
      <c r="J159" s="9" t="s">
        <v>26</v>
      </c>
      <c r="K159" s="9" t="s">
        <v>96</v>
      </c>
      <c r="L159" s="9"/>
      <c r="M159" s="9"/>
    </row>
    <row r="160" spans="1:13">
      <c r="A160" s="8"/>
      <c r="B160" s="8"/>
      <c r="C160" s="8"/>
      <c r="D160" s="8">
        <v>0.65</v>
      </c>
      <c r="E160" s="8">
        <f>D160*3/0.95</f>
        <v>2.0526315789473686</v>
      </c>
      <c r="F160" s="8"/>
      <c r="G160" s="8">
        <f t="shared" si="40"/>
        <v>25</v>
      </c>
      <c r="H160" s="8"/>
      <c r="I160" s="9" t="s">
        <v>98</v>
      </c>
      <c r="J160" s="9" t="s">
        <v>26</v>
      </c>
      <c r="K160" s="9" t="s">
        <v>96</v>
      </c>
      <c r="L160" s="9"/>
      <c r="M160" s="9"/>
    </row>
    <row r="161" spans="1:13">
      <c r="A161" s="8">
        <f>B159</f>
        <v>25</v>
      </c>
      <c r="B161" s="8">
        <v>28</v>
      </c>
      <c r="C161" s="8">
        <v>3</v>
      </c>
      <c r="D161" s="8">
        <v>0.5</v>
      </c>
      <c r="E161" s="8">
        <f>D161*3/2.1</f>
        <v>0.7142857142857143</v>
      </c>
      <c r="F161" s="8">
        <f>2.1/3*100</f>
        <v>70</v>
      </c>
      <c r="G161" s="8">
        <f t="shared" si="40"/>
        <v>25.714285714285715</v>
      </c>
      <c r="H161" s="8">
        <v>18.760000000000002</v>
      </c>
      <c r="I161" s="9" t="s">
        <v>98</v>
      </c>
      <c r="J161" s="9" t="s">
        <v>26</v>
      </c>
      <c r="K161" s="9" t="s">
        <v>96</v>
      </c>
      <c r="L161" s="9"/>
      <c r="M161" s="9"/>
    </row>
    <row r="162" spans="1:13" ht="30">
      <c r="A162" s="8"/>
      <c r="B162" s="8"/>
      <c r="C162" s="8"/>
      <c r="D162" s="8">
        <v>1.6</v>
      </c>
      <c r="E162" s="8">
        <f>D162*3/2.1</f>
        <v>2.285714285714286</v>
      </c>
      <c r="F162" s="8"/>
      <c r="G162" s="8">
        <f t="shared" si="40"/>
        <v>28</v>
      </c>
      <c r="H162" s="8"/>
      <c r="I162" s="9" t="s">
        <v>32</v>
      </c>
      <c r="J162" s="9" t="s">
        <v>33</v>
      </c>
      <c r="K162" s="9" t="s">
        <v>11</v>
      </c>
      <c r="L162" s="9" t="s">
        <v>31</v>
      </c>
      <c r="M162" s="9"/>
    </row>
    <row r="163" spans="1:13" ht="30">
      <c r="A163" s="8">
        <f>B161</f>
        <v>28</v>
      </c>
      <c r="B163" s="8">
        <v>31</v>
      </c>
      <c r="C163" s="8">
        <f t="shared" ref="C163" si="42">B163-A163</f>
        <v>3</v>
      </c>
      <c r="D163" s="8">
        <v>0.8</v>
      </c>
      <c r="E163" s="8">
        <v>2</v>
      </c>
      <c r="F163" s="8">
        <f>0.8/2*100</f>
        <v>40</v>
      </c>
      <c r="G163" s="8">
        <f t="shared" si="40"/>
        <v>30</v>
      </c>
      <c r="H163" s="8">
        <v>14.49</v>
      </c>
      <c r="I163" s="9" t="s">
        <v>32</v>
      </c>
      <c r="J163" s="9" t="s">
        <v>33</v>
      </c>
      <c r="K163" s="9" t="s">
        <v>11</v>
      </c>
      <c r="L163" s="9"/>
      <c r="M163" s="9"/>
    </row>
    <row r="164" spans="1:13" ht="30">
      <c r="A164" s="8"/>
      <c r="B164" s="8"/>
      <c r="C164" s="8"/>
      <c r="D164" s="8">
        <v>0.8</v>
      </c>
      <c r="E164" s="8">
        <v>1</v>
      </c>
      <c r="F164" s="8">
        <f>0.8/1*100</f>
        <v>80</v>
      </c>
      <c r="G164" s="8">
        <f t="shared" si="40"/>
        <v>31</v>
      </c>
      <c r="H164" s="8"/>
      <c r="I164" s="9" t="s">
        <v>53</v>
      </c>
      <c r="J164" s="9" t="s">
        <v>44</v>
      </c>
      <c r="K164" s="9" t="s">
        <v>11</v>
      </c>
      <c r="L164" s="9" t="s">
        <v>57</v>
      </c>
      <c r="M164" s="9"/>
    </row>
    <row r="165" spans="1:13" ht="30">
      <c r="A165" s="8">
        <f>B163</f>
        <v>31</v>
      </c>
      <c r="B165" s="8">
        <v>34</v>
      </c>
      <c r="C165" s="8">
        <v>3</v>
      </c>
      <c r="D165" s="8">
        <v>2.6</v>
      </c>
      <c r="E165" s="8">
        <v>3</v>
      </c>
      <c r="F165" s="8">
        <f>2.6/3*100</f>
        <v>86.666666666666671</v>
      </c>
      <c r="G165" s="8">
        <f t="shared" si="40"/>
        <v>34</v>
      </c>
      <c r="H165" s="8">
        <v>47.66</v>
      </c>
      <c r="I165" s="9" t="s">
        <v>55</v>
      </c>
      <c r="J165" s="9" t="s">
        <v>37</v>
      </c>
      <c r="K165" s="9"/>
      <c r="L165" s="9" t="s">
        <v>57</v>
      </c>
      <c r="M165" s="9"/>
    </row>
    <row r="166" spans="1:13" ht="30">
      <c r="A166" s="8">
        <f>B165</f>
        <v>34</v>
      </c>
      <c r="B166" s="8">
        <v>37</v>
      </c>
      <c r="C166" s="8">
        <v>3</v>
      </c>
      <c r="D166" s="8">
        <v>3</v>
      </c>
      <c r="E166" s="8">
        <v>3</v>
      </c>
      <c r="F166" s="8">
        <f>SUM(D166)*100/3</f>
        <v>100</v>
      </c>
      <c r="G166" s="8">
        <f t="shared" si="40"/>
        <v>37</v>
      </c>
      <c r="H166" s="8">
        <v>63.28</v>
      </c>
      <c r="I166" s="9" t="s">
        <v>99</v>
      </c>
      <c r="J166" s="9" t="s">
        <v>37</v>
      </c>
      <c r="K166" s="9" t="s">
        <v>100</v>
      </c>
      <c r="L166" s="9" t="s">
        <v>57</v>
      </c>
      <c r="M166" s="9"/>
    </row>
    <row r="167" spans="1:13" ht="30">
      <c r="A167" s="8">
        <f t="shared" ref="A167" si="43">B166</f>
        <v>37</v>
      </c>
      <c r="B167" s="8">
        <v>40</v>
      </c>
      <c r="C167" s="8">
        <v>3</v>
      </c>
      <c r="D167" s="8">
        <v>2</v>
      </c>
      <c r="E167" s="8">
        <v>2</v>
      </c>
      <c r="F167" s="8">
        <v>100</v>
      </c>
      <c r="G167" s="8">
        <f t="shared" si="40"/>
        <v>39</v>
      </c>
      <c r="H167" s="8">
        <v>49.9</v>
      </c>
      <c r="I167" s="9" t="s">
        <v>55</v>
      </c>
      <c r="J167" s="9" t="s">
        <v>37</v>
      </c>
      <c r="K167" s="9"/>
      <c r="L167" s="9" t="s">
        <v>57</v>
      </c>
      <c r="M167" s="9"/>
    </row>
    <row r="168" spans="1:13" ht="30">
      <c r="A168" s="13"/>
      <c r="B168" s="13"/>
      <c r="C168" s="13"/>
      <c r="D168" s="13">
        <v>1</v>
      </c>
      <c r="E168" s="13">
        <v>1</v>
      </c>
      <c r="F168" s="13"/>
      <c r="G168" s="13">
        <f>G167+E168</f>
        <v>40</v>
      </c>
      <c r="H168" s="13"/>
      <c r="I168" s="14" t="s">
        <v>53</v>
      </c>
      <c r="J168" s="14" t="s">
        <v>44</v>
      </c>
      <c r="K168" s="14"/>
      <c r="L168" s="14" t="s">
        <v>57</v>
      </c>
      <c r="M168" s="14"/>
    </row>
    <row r="169" spans="1:13" ht="30">
      <c r="A169" s="8">
        <f>B167</f>
        <v>40</v>
      </c>
      <c r="B169" s="8">
        <v>43</v>
      </c>
      <c r="C169" s="8">
        <v>3</v>
      </c>
      <c r="D169" s="8">
        <v>3</v>
      </c>
      <c r="E169" s="8">
        <v>3</v>
      </c>
      <c r="F169" s="8">
        <f t="shared" ref="F169" si="44">SUM(D169)*100/3</f>
        <v>100</v>
      </c>
      <c r="G169" s="8">
        <f t="shared" si="40"/>
        <v>43</v>
      </c>
      <c r="H169" s="8">
        <v>58.67</v>
      </c>
      <c r="I169" s="9" t="s">
        <v>53</v>
      </c>
      <c r="J169" s="9" t="s">
        <v>44</v>
      </c>
      <c r="K169" s="9" t="s">
        <v>91</v>
      </c>
      <c r="L169" s="9" t="s">
        <v>57</v>
      </c>
      <c r="M169" s="9"/>
    </row>
    <row r="170" spans="1:13" ht="30">
      <c r="A170" s="8">
        <f>B169</f>
        <v>43</v>
      </c>
      <c r="B170" s="8">
        <v>46</v>
      </c>
      <c r="C170" s="8">
        <v>3</v>
      </c>
      <c r="D170" s="8">
        <v>3</v>
      </c>
      <c r="E170" s="8">
        <v>3</v>
      </c>
      <c r="F170" s="8">
        <v>100</v>
      </c>
      <c r="G170" s="8">
        <f>G169+E170</f>
        <v>46</v>
      </c>
      <c r="H170" s="8">
        <v>71.25</v>
      </c>
      <c r="I170" s="9" t="s">
        <v>53</v>
      </c>
      <c r="J170" s="9" t="s">
        <v>44</v>
      </c>
      <c r="K170" s="9" t="s">
        <v>179</v>
      </c>
      <c r="L170" s="9" t="s">
        <v>57</v>
      </c>
      <c r="M170" s="9"/>
    </row>
    <row r="171" spans="1:13" ht="30">
      <c r="A171" s="8">
        <f>B170</f>
        <v>46</v>
      </c>
      <c r="B171" s="8">
        <v>49</v>
      </c>
      <c r="C171" s="8">
        <v>3</v>
      </c>
      <c r="D171" s="8">
        <v>3</v>
      </c>
      <c r="E171" s="8">
        <v>3</v>
      </c>
      <c r="F171" s="8">
        <v>100</v>
      </c>
      <c r="G171" s="8">
        <f>G170+E171</f>
        <v>49</v>
      </c>
      <c r="H171" s="8">
        <v>66.83</v>
      </c>
      <c r="I171" s="9" t="s">
        <v>82</v>
      </c>
      <c r="J171" s="9" t="s">
        <v>44</v>
      </c>
      <c r="K171" s="9"/>
      <c r="L171" s="9" t="s">
        <v>57</v>
      </c>
      <c r="M171" s="9"/>
    </row>
    <row r="172" spans="1:13" ht="30">
      <c r="A172" s="8">
        <f t="shared" ref="A172:A173" si="45">B171</f>
        <v>49</v>
      </c>
      <c r="B172" s="8">
        <v>52</v>
      </c>
      <c r="C172" s="8">
        <v>3</v>
      </c>
      <c r="D172" s="8">
        <v>3</v>
      </c>
      <c r="E172" s="8">
        <v>3</v>
      </c>
      <c r="F172" s="8">
        <v>100</v>
      </c>
      <c r="G172" s="8">
        <f t="shared" ref="G172:G175" si="46">G171+E172</f>
        <v>52</v>
      </c>
      <c r="H172" s="8">
        <v>53.74</v>
      </c>
      <c r="I172" s="9" t="s">
        <v>82</v>
      </c>
      <c r="J172" s="9" t="s">
        <v>44</v>
      </c>
      <c r="K172" s="9"/>
      <c r="L172" s="9" t="s">
        <v>57</v>
      </c>
      <c r="M172" s="9"/>
    </row>
    <row r="173" spans="1:13" ht="30">
      <c r="A173" s="8">
        <f t="shared" si="45"/>
        <v>52</v>
      </c>
      <c r="B173" s="8">
        <v>55</v>
      </c>
      <c r="C173" s="8">
        <v>3</v>
      </c>
      <c r="D173" s="8">
        <v>1.5</v>
      </c>
      <c r="E173" s="8">
        <v>1.5</v>
      </c>
      <c r="F173" s="8">
        <v>100</v>
      </c>
      <c r="G173" s="8">
        <f t="shared" si="46"/>
        <v>53.5</v>
      </c>
      <c r="H173" s="8">
        <v>33.25</v>
      </c>
      <c r="I173" s="9" t="s">
        <v>82</v>
      </c>
      <c r="J173" s="9" t="s">
        <v>44</v>
      </c>
      <c r="K173" s="9"/>
      <c r="L173" s="9" t="s">
        <v>57</v>
      </c>
      <c r="M173" s="9"/>
    </row>
    <row r="174" spans="1:13" ht="30">
      <c r="A174" s="8"/>
      <c r="B174" s="8"/>
      <c r="C174" s="8"/>
      <c r="D174" s="8">
        <v>1</v>
      </c>
      <c r="E174" s="8">
        <v>1.5</v>
      </c>
      <c r="F174" s="8"/>
      <c r="G174" s="8">
        <f t="shared" si="46"/>
        <v>55</v>
      </c>
      <c r="H174" s="8"/>
      <c r="I174" s="9" t="s">
        <v>63</v>
      </c>
      <c r="J174" s="9" t="s">
        <v>26</v>
      </c>
      <c r="K174" s="9" t="s">
        <v>90</v>
      </c>
      <c r="L174" s="9"/>
      <c r="M174" s="9"/>
    </row>
    <row r="175" spans="1:13">
      <c r="A175" s="8">
        <f>B173</f>
        <v>55</v>
      </c>
      <c r="B175" s="8">
        <v>56</v>
      </c>
      <c r="C175" s="8">
        <v>1</v>
      </c>
      <c r="D175" s="8">
        <v>1</v>
      </c>
      <c r="E175" s="8">
        <v>1</v>
      </c>
      <c r="F175" s="8">
        <v>100</v>
      </c>
      <c r="G175" s="8">
        <f t="shared" si="46"/>
        <v>56</v>
      </c>
      <c r="H175" s="8">
        <v>0</v>
      </c>
      <c r="I175" s="9" t="s">
        <v>63</v>
      </c>
      <c r="J175" s="9" t="s">
        <v>26</v>
      </c>
      <c r="K175" s="9"/>
      <c r="L175" s="9" t="s">
        <v>57</v>
      </c>
      <c r="M175" s="9"/>
    </row>
    <row r="177" spans="1:13" ht="21.75" customHeight="1">
      <c r="A177" s="20" t="s">
        <v>193</v>
      </c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</row>
    <row r="178" spans="1:13" s="4" customFormat="1">
      <c r="A178" s="4" t="s">
        <v>188</v>
      </c>
      <c r="B178" s="4" t="s">
        <v>168</v>
      </c>
      <c r="E178" s="5"/>
      <c r="I178" s="5"/>
      <c r="L178" s="4" t="s">
        <v>147</v>
      </c>
      <c r="M178" s="4" t="s">
        <v>166</v>
      </c>
    </row>
    <row r="179" spans="1:13" s="4" customFormat="1">
      <c r="A179" s="4" t="s">
        <v>189</v>
      </c>
      <c r="B179" s="4">
        <v>479694.90600000002</v>
      </c>
      <c r="L179" s="4" t="s">
        <v>148</v>
      </c>
      <c r="M179" s="4" t="s">
        <v>170</v>
      </c>
    </row>
    <row r="180" spans="1:13" s="4" customFormat="1">
      <c r="A180" s="4" t="s">
        <v>149</v>
      </c>
      <c r="B180" s="4" t="s">
        <v>169</v>
      </c>
      <c r="E180" s="5"/>
      <c r="F180" s="5"/>
      <c r="G180" s="5"/>
      <c r="H180" s="5"/>
      <c r="I180" s="5"/>
      <c r="L180" s="4" t="s">
        <v>150</v>
      </c>
      <c r="M180" s="6">
        <v>58</v>
      </c>
    </row>
    <row r="181" spans="1:13" ht="14.45" customHeight="1"/>
    <row r="182" spans="1:13" ht="15" customHeight="1">
      <c r="A182" s="18" t="s">
        <v>0</v>
      </c>
      <c r="B182" s="18"/>
      <c r="C182" s="18"/>
      <c r="D182" s="19" t="s">
        <v>200</v>
      </c>
      <c r="E182" s="19" t="s">
        <v>201</v>
      </c>
      <c r="F182" s="19" t="s">
        <v>199</v>
      </c>
      <c r="G182" s="19" t="s">
        <v>1</v>
      </c>
      <c r="H182" s="19" t="s">
        <v>2</v>
      </c>
      <c r="I182" s="17" t="s">
        <v>3</v>
      </c>
      <c r="J182" s="17" t="s">
        <v>4</v>
      </c>
      <c r="K182" s="17" t="s">
        <v>5</v>
      </c>
      <c r="L182" s="17" t="s">
        <v>6</v>
      </c>
      <c r="M182" s="17" t="s">
        <v>7</v>
      </c>
    </row>
    <row r="183" spans="1:13" ht="44.25" customHeight="1">
      <c r="A183" s="7" t="s">
        <v>8</v>
      </c>
      <c r="B183" s="7" t="s">
        <v>9</v>
      </c>
      <c r="C183" s="11" t="s">
        <v>190</v>
      </c>
      <c r="D183" s="19"/>
      <c r="E183" s="19"/>
      <c r="F183" s="19"/>
      <c r="G183" s="19"/>
      <c r="H183" s="19"/>
      <c r="I183" s="17"/>
      <c r="J183" s="17"/>
      <c r="K183" s="17"/>
      <c r="L183" s="17"/>
      <c r="M183" s="17"/>
    </row>
    <row r="184" spans="1:13">
      <c r="A184" s="8">
        <v>0</v>
      </c>
      <c r="B184" s="8">
        <v>3</v>
      </c>
      <c r="C184" s="8">
        <v>0.5</v>
      </c>
      <c r="D184" s="8" t="s">
        <v>10</v>
      </c>
      <c r="E184" s="8">
        <v>3</v>
      </c>
      <c r="F184" s="8">
        <v>0</v>
      </c>
      <c r="G184" s="8">
        <v>3</v>
      </c>
      <c r="H184" s="8">
        <v>0</v>
      </c>
      <c r="I184" s="9" t="s">
        <v>17</v>
      </c>
      <c r="J184" s="9" t="s">
        <v>13</v>
      </c>
      <c r="K184" s="9"/>
      <c r="L184" s="9"/>
      <c r="M184" s="9"/>
    </row>
    <row r="185" spans="1:13">
      <c r="A185" s="8">
        <f>B184</f>
        <v>3</v>
      </c>
      <c r="B185" s="8">
        <v>4</v>
      </c>
      <c r="C185" s="8">
        <f t="shared" ref="C185:C187" si="47">B185-A185</f>
        <v>1</v>
      </c>
      <c r="D185" s="8">
        <v>0.3</v>
      </c>
      <c r="E185" s="8">
        <v>1</v>
      </c>
      <c r="F185" s="8">
        <f>D185/E185*100</f>
        <v>30</v>
      </c>
      <c r="G185" s="8">
        <v>4</v>
      </c>
      <c r="H185" s="8">
        <v>0</v>
      </c>
      <c r="I185" s="9" t="s">
        <v>101</v>
      </c>
      <c r="J185" s="9" t="s">
        <v>85</v>
      </c>
      <c r="K185" s="9" t="s">
        <v>11</v>
      </c>
      <c r="L185" s="9"/>
      <c r="M185" s="9" t="s">
        <v>20</v>
      </c>
    </row>
    <row r="186" spans="1:13" ht="45">
      <c r="A186" s="8">
        <f t="shared" ref="A186" si="48">B185</f>
        <v>4</v>
      </c>
      <c r="B186" s="8">
        <v>7</v>
      </c>
      <c r="C186" s="8">
        <v>3</v>
      </c>
      <c r="D186" s="8">
        <v>0.9</v>
      </c>
      <c r="E186" s="8">
        <v>3</v>
      </c>
      <c r="F186" s="8">
        <f>0.8/3*100</f>
        <v>26.666666666666668</v>
      </c>
      <c r="G186" s="8">
        <f>G185+E186</f>
        <v>7</v>
      </c>
      <c r="H186" s="8">
        <v>0</v>
      </c>
      <c r="I186" s="9" t="s">
        <v>102</v>
      </c>
      <c r="J186" s="9" t="s">
        <v>70</v>
      </c>
      <c r="K186" s="9" t="s">
        <v>103</v>
      </c>
      <c r="L186" s="9" t="s">
        <v>104</v>
      </c>
      <c r="M186" s="9" t="s">
        <v>20</v>
      </c>
    </row>
    <row r="187" spans="1:13" ht="30">
      <c r="A187" s="8">
        <f>B186</f>
        <v>7</v>
      </c>
      <c r="B187" s="8">
        <v>10</v>
      </c>
      <c r="C187" s="8">
        <f t="shared" si="47"/>
        <v>3</v>
      </c>
      <c r="D187" s="8">
        <v>2</v>
      </c>
      <c r="E187" s="8">
        <v>3</v>
      </c>
      <c r="F187" s="8">
        <f>D187/3*100</f>
        <v>66.666666666666657</v>
      </c>
      <c r="G187" s="8">
        <f t="shared" ref="G187:G198" si="49">G186+E187</f>
        <v>10</v>
      </c>
      <c r="H187" s="8"/>
      <c r="I187" s="9" t="s">
        <v>105</v>
      </c>
      <c r="J187" s="9" t="s">
        <v>70</v>
      </c>
      <c r="K187" s="9"/>
      <c r="L187" s="9" t="s">
        <v>104</v>
      </c>
      <c r="M187" s="9" t="s">
        <v>20</v>
      </c>
    </row>
    <row r="188" spans="1:13" ht="30">
      <c r="A188" s="8">
        <f>B187</f>
        <v>10</v>
      </c>
      <c r="B188" s="8">
        <v>13</v>
      </c>
      <c r="C188" s="8">
        <f>B188-A188</f>
        <v>3</v>
      </c>
      <c r="D188" s="8">
        <v>0.6</v>
      </c>
      <c r="E188" s="8">
        <f>D188*3/2.8</f>
        <v>0.64285714285714279</v>
      </c>
      <c r="F188" s="8">
        <f>2.8/3*100</f>
        <v>93.333333333333329</v>
      </c>
      <c r="G188" s="8">
        <f t="shared" si="49"/>
        <v>10.642857142857142</v>
      </c>
      <c r="H188" s="8">
        <v>0</v>
      </c>
      <c r="I188" s="9" t="s">
        <v>105</v>
      </c>
      <c r="J188" s="9" t="s">
        <v>70</v>
      </c>
      <c r="K188" s="9"/>
      <c r="L188" s="9"/>
      <c r="M188" s="9"/>
    </row>
    <row r="189" spans="1:13">
      <c r="A189" s="8"/>
      <c r="B189" s="8"/>
      <c r="C189" s="8"/>
      <c r="D189" s="8">
        <v>2.2000000000000002</v>
      </c>
      <c r="E189" s="8">
        <f>D189*3/2.8</f>
        <v>2.3571428571428577</v>
      </c>
      <c r="F189" s="8"/>
      <c r="G189" s="8">
        <f t="shared" si="49"/>
        <v>13</v>
      </c>
      <c r="H189" s="8"/>
      <c r="I189" s="9" t="s">
        <v>106</v>
      </c>
      <c r="J189" s="9" t="s">
        <v>70</v>
      </c>
      <c r="K189" s="9"/>
      <c r="L189" s="9"/>
      <c r="M189" s="9"/>
    </row>
    <row r="190" spans="1:13">
      <c r="A190" s="8">
        <f>B188</f>
        <v>13</v>
      </c>
      <c r="B190" s="8">
        <v>16</v>
      </c>
      <c r="C190" s="8">
        <f>B190-A190</f>
        <v>3</v>
      </c>
      <c r="D190" s="8">
        <v>1.8</v>
      </c>
      <c r="E190" s="8">
        <v>3</v>
      </c>
      <c r="F190" s="8">
        <f>D190/3*100</f>
        <v>60</v>
      </c>
      <c r="G190" s="8">
        <f t="shared" si="49"/>
        <v>16</v>
      </c>
      <c r="H190" s="8">
        <v>3.3333333333333335</v>
      </c>
      <c r="I190" s="9" t="s">
        <v>107</v>
      </c>
      <c r="J190" s="9" t="s">
        <v>108</v>
      </c>
      <c r="K190" s="9"/>
      <c r="L190" s="9"/>
      <c r="M190" s="9"/>
    </row>
    <row r="191" spans="1:13" ht="30">
      <c r="A191" s="8">
        <f>B190</f>
        <v>16</v>
      </c>
      <c r="B191" s="8">
        <v>19</v>
      </c>
      <c r="C191" s="8">
        <f>B191-A191</f>
        <v>3</v>
      </c>
      <c r="D191" s="8">
        <v>2.8</v>
      </c>
      <c r="E191" s="8">
        <v>3</v>
      </c>
      <c r="F191" s="8">
        <v>90</v>
      </c>
      <c r="G191" s="8">
        <f t="shared" si="49"/>
        <v>19</v>
      </c>
      <c r="H191" s="8">
        <v>0</v>
      </c>
      <c r="I191" s="9" t="s">
        <v>109</v>
      </c>
      <c r="J191" s="9" t="s">
        <v>70</v>
      </c>
      <c r="K191" s="9"/>
      <c r="L191" s="9" t="s">
        <v>31</v>
      </c>
      <c r="M191" s="9"/>
    </row>
    <row r="192" spans="1:13" ht="30">
      <c r="A192" s="8">
        <f>B191</f>
        <v>19</v>
      </c>
      <c r="B192" s="8">
        <v>22</v>
      </c>
      <c r="C192" s="8">
        <f t="shared" ref="C192" si="50">B192-A192</f>
        <v>3</v>
      </c>
      <c r="D192" s="8">
        <v>1.7</v>
      </c>
      <c r="E192" s="8">
        <f>D192*3/2.3</f>
        <v>2.2173913043478262</v>
      </c>
      <c r="F192" s="8">
        <f>D192/3*100</f>
        <v>56.666666666666664</v>
      </c>
      <c r="G192" s="8">
        <f t="shared" si="49"/>
        <v>21.217391304347828</v>
      </c>
      <c r="H192" s="8">
        <v>0</v>
      </c>
      <c r="I192" s="9" t="s">
        <v>109</v>
      </c>
      <c r="J192" s="9" t="s">
        <v>70</v>
      </c>
      <c r="K192" s="9"/>
      <c r="L192" s="9" t="s">
        <v>31</v>
      </c>
      <c r="M192" s="9"/>
    </row>
    <row r="193" spans="1:13">
      <c r="A193" s="8"/>
      <c r="B193" s="8"/>
      <c r="C193" s="8"/>
      <c r="D193" s="8">
        <v>0.6</v>
      </c>
      <c r="E193" s="8">
        <f>D193*3/2.3</f>
        <v>0.78260869565217395</v>
      </c>
      <c r="F193" s="8"/>
      <c r="G193" s="8">
        <f t="shared" si="49"/>
        <v>22.000000000000004</v>
      </c>
      <c r="H193" s="8"/>
      <c r="I193" s="9" t="s">
        <v>110</v>
      </c>
      <c r="J193" s="9" t="s">
        <v>85</v>
      </c>
      <c r="K193" s="9" t="s">
        <v>12</v>
      </c>
      <c r="L193" s="9"/>
      <c r="M193" s="9"/>
    </row>
    <row r="194" spans="1:13">
      <c r="A194" s="8">
        <f>B192</f>
        <v>22</v>
      </c>
      <c r="B194" s="8">
        <v>25</v>
      </c>
      <c r="C194" s="8">
        <v>3</v>
      </c>
      <c r="D194" s="8">
        <v>1.9</v>
      </c>
      <c r="E194" s="8">
        <f>D194*3/2.2</f>
        <v>2.5909090909090904</v>
      </c>
      <c r="F194" s="8">
        <f>2.2/3*100</f>
        <v>73.333333333333343</v>
      </c>
      <c r="G194" s="8">
        <f t="shared" si="49"/>
        <v>24.590909090909093</v>
      </c>
      <c r="H194" s="8">
        <v>0</v>
      </c>
      <c r="I194" s="9" t="s">
        <v>110</v>
      </c>
      <c r="J194" s="9" t="s">
        <v>85</v>
      </c>
      <c r="L194" s="9"/>
      <c r="M194" s="9"/>
    </row>
    <row r="195" spans="1:13">
      <c r="A195" s="8"/>
      <c r="B195" s="8"/>
      <c r="C195" s="8"/>
      <c r="D195" s="8">
        <v>0.3</v>
      </c>
      <c r="E195" s="8">
        <f>D195*3/2.2</f>
        <v>0.40909090909090901</v>
      </c>
      <c r="F195" s="8"/>
      <c r="G195" s="8">
        <f t="shared" si="49"/>
        <v>25.000000000000004</v>
      </c>
      <c r="H195" s="8"/>
      <c r="I195" s="9" t="s">
        <v>111</v>
      </c>
      <c r="J195" s="9" t="s">
        <v>26</v>
      </c>
      <c r="K195" s="9"/>
      <c r="L195" s="9"/>
      <c r="M195" s="9"/>
    </row>
    <row r="196" spans="1:13">
      <c r="A196" s="8">
        <f>B194</f>
        <v>25</v>
      </c>
      <c r="B196" s="8">
        <v>28</v>
      </c>
      <c r="C196" s="8">
        <v>3</v>
      </c>
      <c r="D196" s="8">
        <v>0.35</v>
      </c>
      <c r="E196" s="8">
        <f>D196*3/2.65</f>
        <v>0.39622641509433959</v>
      </c>
      <c r="F196" s="8">
        <f>2.65/3*100</f>
        <v>88.333333333333329</v>
      </c>
      <c r="G196" s="8">
        <f t="shared" si="49"/>
        <v>25.396226415094343</v>
      </c>
      <c r="H196" s="8">
        <v>0</v>
      </c>
      <c r="I196" s="9" t="s">
        <v>111</v>
      </c>
      <c r="J196" s="9" t="s">
        <v>26</v>
      </c>
      <c r="K196" s="9" t="s">
        <v>96</v>
      </c>
      <c r="L196" s="9"/>
      <c r="M196" s="9"/>
    </row>
    <row r="197" spans="1:13" ht="30">
      <c r="A197" s="8"/>
      <c r="B197" s="8"/>
      <c r="C197" s="8"/>
      <c r="D197" s="8">
        <v>2.2999999999999998</v>
      </c>
      <c r="E197" s="8">
        <f>D197*3/2.65</f>
        <v>2.6037735849056602</v>
      </c>
      <c r="F197" s="8"/>
      <c r="G197" s="8">
        <f t="shared" si="49"/>
        <v>28.000000000000004</v>
      </c>
      <c r="H197" s="8"/>
      <c r="I197" s="9" t="s">
        <v>23</v>
      </c>
      <c r="J197" s="9" t="s">
        <v>24</v>
      </c>
      <c r="K197" s="9" t="s">
        <v>11</v>
      </c>
      <c r="L197" s="9" t="s">
        <v>31</v>
      </c>
      <c r="M197" s="9"/>
    </row>
    <row r="198" spans="1:13" ht="30">
      <c r="A198" s="8">
        <f>B196</f>
        <v>28</v>
      </c>
      <c r="B198" s="8">
        <v>31</v>
      </c>
      <c r="C198" s="8">
        <f t="shared" ref="C198" si="51">B198-A198</f>
        <v>3</v>
      </c>
      <c r="D198" s="8">
        <v>3</v>
      </c>
      <c r="E198" s="8">
        <v>3</v>
      </c>
      <c r="F198" s="8">
        <v>100</v>
      </c>
      <c r="G198" s="8">
        <f t="shared" si="49"/>
        <v>31.000000000000004</v>
      </c>
      <c r="H198" s="8">
        <v>0</v>
      </c>
      <c r="I198" s="9" t="s">
        <v>23</v>
      </c>
      <c r="J198" s="9" t="s">
        <v>24</v>
      </c>
      <c r="K198" s="9" t="s">
        <v>11</v>
      </c>
      <c r="L198" s="9"/>
      <c r="M198" s="9"/>
    </row>
    <row r="199" spans="1:13" ht="30">
      <c r="A199" s="8">
        <f>B198</f>
        <v>31</v>
      </c>
      <c r="B199" s="8">
        <v>34</v>
      </c>
      <c r="C199" s="8">
        <v>3</v>
      </c>
      <c r="D199" s="8">
        <v>0.3</v>
      </c>
      <c r="E199" s="8">
        <v>0.3</v>
      </c>
      <c r="F199" s="8">
        <v>100</v>
      </c>
      <c r="G199" s="8">
        <f>G198+E199</f>
        <v>31.300000000000004</v>
      </c>
      <c r="H199" s="8">
        <v>0</v>
      </c>
      <c r="I199" s="9" t="s">
        <v>23</v>
      </c>
      <c r="J199" s="9" t="s">
        <v>24</v>
      </c>
      <c r="K199" s="9"/>
      <c r="L199" s="9"/>
      <c r="M199" s="9"/>
    </row>
    <row r="200" spans="1:13">
      <c r="A200" s="8"/>
      <c r="B200" s="8"/>
      <c r="C200" s="8"/>
      <c r="D200" s="8">
        <v>2.7</v>
      </c>
      <c r="E200" s="8">
        <v>2.7</v>
      </c>
      <c r="F200" s="8"/>
      <c r="G200" s="8">
        <f>G199+E200</f>
        <v>34.000000000000007</v>
      </c>
      <c r="H200" s="8"/>
      <c r="I200" s="9" t="s">
        <v>112</v>
      </c>
      <c r="J200" s="9" t="s">
        <v>24</v>
      </c>
      <c r="K200" s="9"/>
      <c r="L200" s="9"/>
      <c r="M200" s="9"/>
    </row>
    <row r="201" spans="1:13">
      <c r="A201" s="8">
        <f>B199</f>
        <v>34</v>
      </c>
      <c r="B201" s="8">
        <v>37</v>
      </c>
      <c r="C201" s="8">
        <v>3</v>
      </c>
      <c r="D201" s="8">
        <v>1</v>
      </c>
      <c r="E201" s="8">
        <v>1</v>
      </c>
      <c r="F201" s="8">
        <f>3*100/3</f>
        <v>100</v>
      </c>
      <c r="G201" s="8">
        <f>G200+E201</f>
        <v>35.000000000000007</v>
      </c>
      <c r="H201" s="8">
        <v>38.333333333333329</v>
      </c>
      <c r="I201" s="9" t="s">
        <v>113</v>
      </c>
      <c r="J201" s="9" t="s">
        <v>26</v>
      </c>
      <c r="K201" s="9"/>
      <c r="L201" s="9"/>
      <c r="M201" s="9"/>
    </row>
    <row r="202" spans="1:13" ht="30">
      <c r="A202" s="8"/>
      <c r="B202" s="8"/>
      <c r="C202" s="8"/>
      <c r="D202" s="8">
        <v>1</v>
      </c>
      <c r="E202" s="8">
        <v>1</v>
      </c>
      <c r="F202" s="8"/>
      <c r="G202" s="8">
        <f>G201+E202</f>
        <v>36.000000000000007</v>
      </c>
      <c r="H202" s="8"/>
      <c r="I202" s="9" t="s">
        <v>32</v>
      </c>
      <c r="J202" s="9"/>
      <c r="K202" s="9"/>
      <c r="L202" s="9"/>
      <c r="M202" s="9"/>
    </row>
    <row r="203" spans="1:13" ht="30">
      <c r="A203" s="8"/>
      <c r="B203" s="8"/>
      <c r="C203" s="8"/>
      <c r="D203" s="8">
        <v>1</v>
      </c>
      <c r="E203" s="8">
        <v>1</v>
      </c>
      <c r="F203" s="8"/>
      <c r="G203" s="8">
        <f>G202+E203</f>
        <v>37.000000000000007</v>
      </c>
      <c r="H203" s="8"/>
      <c r="I203" s="9" t="s">
        <v>82</v>
      </c>
      <c r="J203" s="9" t="s">
        <v>44</v>
      </c>
      <c r="K203" s="9"/>
      <c r="L203" s="9" t="s">
        <v>57</v>
      </c>
      <c r="M203" s="9"/>
    </row>
    <row r="204" spans="1:13" ht="30">
      <c r="A204" s="8">
        <f t="shared" ref="A204" si="52">B201</f>
        <v>37</v>
      </c>
      <c r="B204" s="8">
        <v>40</v>
      </c>
      <c r="C204" s="8">
        <v>3</v>
      </c>
      <c r="D204" s="8">
        <v>2.5</v>
      </c>
      <c r="E204" s="8">
        <v>2.5</v>
      </c>
      <c r="F204" s="8">
        <v>100</v>
      </c>
      <c r="G204" s="8">
        <f t="shared" ref="G204:G216" si="53">G203+E204</f>
        <v>39.500000000000007</v>
      </c>
      <c r="H204" s="8">
        <v>66</v>
      </c>
      <c r="I204" s="9" t="s">
        <v>115</v>
      </c>
      <c r="J204" s="9" t="s">
        <v>37</v>
      </c>
      <c r="K204" s="9"/>
      <c r="L204" s="9" t="s">
        <v>57</v>
      </c>
      <c r="M204" s="9"/>
    </row>
    <row r="205" spans="1:13" ht="30">
      <c r="A205" s="8"/>
      <c r="B205" s="8"/>
      <c r="C205" s="8"/>
      <c r="D205" s="8">
        <v>0.5</v>
      </c>
      <c r="E205" s="8">
        <v>0.5</v>
      </c>
      <c r="F205" s="8"/>
      <c r="G205" s="8">
        <f t="shared" si="53"/>
        <v>40.000000000000007</v>
      </c>
      <c r="H205" s="8"/>
      <c r="I205" s="9" t="s">
        <v>82</v>
      </c>
      <c r="J205" s="9" t="s">
        <v>44</v>
      </c>
      <c r="K205" s="9"/>
      <c r="L205" s="9" t="s">
        <v>57</v>
      </c>
      <c r="M205" s="9"/>
    </row>
    <row r="206" spans="1:13">
      <c r="A206" s="8">
        <f>B204</f>
        <v>40</v>
      </c>
      <c r="B206" s="8">
        <v>43</v>
      </c>
      <c r="C206" s="8">
        <v>3</v>
      </c>
      <c r="D206" s="8">
        <v>3</v>
      </c>
      <c r="E206" s="8">
        <v>3</v>
      </c>
      <c r="F206" s="8">
        <f t="shared" ref="F206" si="54">SUM(D206)*100/3</f>
        <v>100</v>
      </c>
      <c r="G206" s="8">
        <f t="shared" si="53"/>
        <v>43.000000000000007</v>
      </c>
      <c r="H206" s="8">
        <v>38.999999999999993</v>
      </c>
      <c r="I206" s="9" t="s">
        <v>80</v>
      </c>
      <c r="J206" s="9" t="s">
        <v>44</v>
      </c>
      <c r="K206" s="9"/>
      <c r="L206" s="9" t="s">
        <v>57</v>
      </c>
      <c r="M206" s="9"/>
    </row>
    <row r="207" spans="1:13" ht="30">
      <c r="A207" s="8">
        <f>B206</f>
        <v>43</v>
      </c>
      <c r="B207" s="8">
        <v>46</v>
      </c>
      <c r="C207" s="8">
        <v>3</v>
      </c>
      <c r="D207" s="8">
        <v>1</v>
      </c>
      <c r="E207" s="8">
        <v>1</v>
      </c>
      <c r="F207" s="8">
        <v>100</v>
      </c>
      <c r="G207" s="8">
        <f t="shared" si="53"/>
        <v>44.000000000000007</v>
      </c>
      <c r="H207" s="8">
        <v>50</v>
      </c>
      <c r="I207" s="9" t="s">
        <v>82</v>
      </c>
      <c r="J207" s="9" t="s">
        <v>44</v>
      </c>
      <c r="K207" s="9"/>
      <c r="L207" s="9" t="s">
        <v>57</v>
      </c>
      <c r="M207" s="9"/>
    </row>
    <row r="208" spans="1:13" ht="30">
      <c r="A208" s="8"/>
      <c r="B208" s="8"/>
      <c r="C208" s="8"/>
      <c r="D208" s="8">
        <v>2</v>
      </c>
      <c r="E208" s="8">
        <v>2</v>
      </c>
      <c r="F208" s="8"/>
      <c r="G208" s="8">
        <f t="shared" si="53"/>
        <v>46.000000000000007</v>
      </c>
      <c r="H208" s="8"/>
      <c r="I208" s="9" t="s">
        <v>114</v>
      </c>
      <c r="J208" s="9" t="s">
        <v>44</v>
      </c>
      <c r="K208" s="9"/>
      <c r="L208" s="9" t="s">
        <v>57</v>
      </c>
      <c r="M208" s="9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6"/>
      <c r="K209" s="16"/>
      <c r="L209" s="16"/>
      <c r="M209" s="16"/>
    </row>
    <row r="210" spans="1:13">
      <c r="A210" s="18" t="s">
        <v>0</v>
      </c>
      <c r="B210" s="18"/>
      <c r="C210" s="18"/>
      <c r="D210" s="19" t="s">
        <v>200</v>
      </c>
      <c r="E210" s="19" t="s">
        <v>201</v>
      </c>
      <c r="F210" s="19" t="s">
        <v>199</v>
      </c>
      <c r="G210" s="19" t="s">
        <v>1</v>
      </c>
      <c r="H210" s="19" t="s">
        <v>2</v>
      </c>
      <c r="I210" s="17" t="s">
        <v>3</v>
      </c>
      <c r="J210" s="17" t="s">
        <v>4</v>
      </c>
      <c r="K210" s="17" t="s">
        <v>5</v>
      </c>
      <c r="L210" s="17" t="s">
        <v>6</v>
      </c>
      <c r="M210" s="17" t="s">
        <v>7</v>
      </c>
    </row>
    <row r="211" spans="1:13" ht="28.5">
      <c r="A211" s="7" t="s">
        <v>8</v>
      </c>
      <c r="B211" s="7" t="s">
        <v>9</v>
      </c>
      <c r="C211" s="11" t="s">
        <v>190</v>
      </c>
      <c r="D211" s="19"/>
      <c r="E211" s="19"/>
      <c r="F211" s="19"/>
      <c r="G211" s="19"/>
      <c r="H211" s="19"/>
      <c r="I211" s="17"/>
      <c r="J211" s="17"/>
      <c r="K211" s="17"/>
      <c r="L211" s="17"/>
      <c r="M211" s="17"/>
    </row>
    <row r="212" spans="1:13" ht="30">
      <c r="A212" s="8">
        <f>B207</f>
        <v>46</v>
      </c>
      <c r="B212" s="8">
        <v>49</v>
      </c>
      <c r="C212" s="8">
        <v>3</v>
      </c>
      <c r="D212" s="8">
        <v>3</v>
      </c>
      <c r="E212" s="8">
        <v>3</v>
      </c>
      <c r="F212" s="8">
        <v>100</v>
      </c>
      <c r="G212" s="8">
        <f>G208+E212</f>
        <v>49.000000000000007</v>
      </c>
      <c r="H212" s="8">
        <v>75</v>
      </c>
      <c r="I212" s="9" t="s">
        <v>114</v>
      </c>
      <c r="J212" s="9" t="s">
        <v>44</v>
      </c>
      <c r="K212" s="9"/>
      <c r="L212" s="9" t="s">
        <v>57</v>
      </c>
      <c r="M212" s="9"/>
    </row>
    <row r="213" spans="1:13">
      <c r="A213" s="8">
        <f t="shared" ref="A213:A214" si="55">B212</f>
        <v>49</v>
      </c>
      <c r="B213" s="8">
        <v>52</v>
      </c>
      <c r="C213" s="8">
        <v>3</v>
      </c>
      <c r="D213" s="8">
        <v>3</v>
      </c>
      <c r="E213" s="8">
        <v>3</v>
      </c>
      <c r="F213" s="8">
        <v>100</v>
      </c>
      <c r="G213" s="8">
        <f t="shared" si="53"/>
        <v>52.000000000000007</v>
      </c>
      <c r="H213" s="8">
        <v>74.666666666666671</v>
      </c>
      <c r="I213" s="9" t="s">
        <v>80</v>
      </c>
      <c r="J213" s="9" t="s">
        <v>44</v>
      </c>
      <c r="K213" s="9"/>
      <c r="L213" s="9" t="s">
        <v>57</v>
      </c>
      <c r="M213" s="9"/>
    </row>
    <row r="214" spans="1:13">
      <c r="A214" s="8">
        <f t="shared" si="55"/>
        <v>52</v>
      </c>
      <c r="B214" s="8">
        <v>55</v>
      </c>
      <c r="C214" s="8">
        <v>3</v>
      </c>
      <c r="D214" s="8">
        <v>3</v>
      </c>
      <c r="E214" s="8">
        <v>3</v>
      </c>
      <c r="F214" s="8">
        <v>100</v>
      </c>
      <c r="G214" s="8">
        <f t="shared" si="53"/>
        <v>55.000000000000007</v>
      </c>
      <c r="H214" s="8">
        <v>60.666666666666671</v>
      </c>
      <c r="I214" s="9" t="s">
        <v>80</v>
      </c>
      <c r="J214" s="9" t="s">
        <v>44</v>
      </c>
      <c r="K214" s="9"/>
      <c r="L214" s="9" t="s">
        <v>57</v>
      </c>
      <c r="M214" s="9"/>
    </row>
    <row r="215" spans="1:13">
      <c r="A215" s="8">
        <f>B214</f>
        <v>55</v>
      </c>
      <c r="B215" s="8">
        <v>58</v>
      </c>
      <c r="C215" s="8">
        <v>3</v>
      </c>
      <c r="D215" s="8">
        <v>1.7</v>
      </c>
      <c r="E215" s="8">
        <v>1.7</v>
      </c>
      <c r="F215" s="8">
        <v>100</v>
      </c>
      <c r="G215" s="8">
        <f t="shared" si="53"/>
        <v>56.70000000000001</v>
      </c>
      <c r="H215" s="8">
        <v>49.333333333333336</v>
      </c>
      <c r="I215" s="9" t="s">
        <v>80</v>
      </c>
      <c r="J215" s="9" t="s">
        <v>44</v>
      </c>
      <c r="K215" s="9"/>
      <c r="L215" s="9" t="s">
        <v>57</v>
      </c>
      <c r="M215" s="9"/>
    </row>
    <row r="216" spans="1:13">
      <c r="A216" s="8"/>
      <c r="B216" s="8"/>
      <c r="C216" s="8"/>
      <c r="D216" s="8">
        <v>1.3</v>
      </c>
      <c r="E216" s="8">
        <v>1.3</v>
      </c>
      <c r="F216" s="8"/>
      <c r="G216" s="8">
        <f t="shared" si="53"/>
        <v>58.000000000000007</v>
      </c>
      <c r="H216" s="8"/>
      <c r="I216" s="9" t="s">
        <v>43</v>
      </c>
      <c r="J216" s="9" t="s">
        <v>116</v>
      </c>
      <c r="K216" s="9"/>
      <c r="L216" s="9"/>
      <c r="M216" s="9"/>
    </row>
    <row r="218" spans="1:13" ht="23.25" customHeight="1">
      <c r="A218" s="20" t="s">
        <v>192</v>
      </c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</row>
    <row r="219" spans="1:13" s="4" customFormat="1">
      <c r="A219" s="4" t="s">
        <v>188</v>
      </c>
      <c r="B219" s="4" t="s">
        <v>171</v>
      </c>
      <c r="E219" s="5"/>
      <c r="I219" s="5"/>
      <c r="L219" s="4" t="s">
        <v>147</v>
      </c>
      <c r="M219" s="4" t="s">
        <v>173</v>
      </c>
    </row>
    <row r="220" spans="1:13" s="4" customFormat="1">
      <c r="A220" s="4" t="s">
        <v>189</v>
      </c>
      <c r="B220" s="4">
        <v>476008.53700000001</v>
      </c>
      <c r="L220" s="4" t="s">
        <v>148</v>
      </c>
      <c r="M220" s="4" t="s">
        <v>174</v>
      </c>
    </row>
    <row r="221" spans="1:13" s="4" customFormat="1">
      <c r="A221" s="4" t="s">
        <v>149</v>
      </c>
      <c r="B221" s="4" t="s">
        <v>172</v>
      </c>
      <c r="E221" s="5"/>
      <c r="F221" s="5"/>
      <c r="G221" s="5"/>
      <c r="H221" s="5"/>
      <c r="I221" s="5"/>
      <c r="L221" s="4" t="s">
        <v>150</v>
      </c>
      <c r="M221" s="6">
        <v>40</v>
      </c>
    </row>
    <row r="222" spans="1:13" ht="14.45" customHeight="1"/>
    <row r="223" spans="1:13" ht="15" customHeight="1">
      <c r="A223" s="18" t="s">
        <v>0</v>
      </c>
      <c r="B223" s="18"/>
      <c r="C223" s="18"/>
      <c r="D223" s="19" t="s">
        <v>200</v>
      </c>
      <c r="E223" s="19" t="s">
        <v>201</v>
      </c>
      <c r="F223" s="19" t="s">
        <v>199</v>
      </c>
      <c r="G223" s="19" t="s">
        <v>1</v>
      </c>
      <c r="H223" s="19" t="s">
        <v>2</v>
      </c>
      <c r="I223" s="17" t="s">
        <v>3</v>
      </c>
      <c r="J223" s="17" t="s">
        <v>4</v>
      </c>
      <c r="K223" s="17" t="s">
        <v>5</v>
      </c>
      <c r="L223" s="17" t="s">
        <v>6</v>
      </c>
      <c r="M223" s="17" t="s">
        <v>7</v>
      </c>
    </row>
    <row r="224" spans="1:13" ht="42" customHeight="1">
      <c r="A224" s="7" t="s">
        <v>8</v>
      </c>
      <c r="B224" s="7" t="s">
        <v>9</v>
      </c>
      <c r="C224" s="11" t="s">
        <v>190</v>
      </c>
      <c r="D224" s="19"/>
      <c r="E224" s="19"/>
      <c r="F224" s="19"/>
      <c r="G224" s="19"/>
      <c r="H224" s="19"/>
      <c r="I224" s="17"/>
      <c r="J224" s="17"/>
      <c r="K224" s="17"/>
      <c r="L224" s="17"/>
      <c r="M224" s="17"/>
    </row>
    <row r="225" spans="1:13">
      <c r="A225" s="8">
        <v>0</v>
      </c>
      <c r="B225" s="8">
        <v>3</v>
      </c>
      <c r="C225" s="8">
        <v>0.5</v>
      </c>
      <c r="D225" s="8" t="s">
        <v>10</v>
      </c>
      <c r="E225" s="8">
        <v>2.4</v>
      </c>
      <c r="F225" s="8">
        <f>D226/3*100</f>
        <v>17.333333333333336</v>
      </c>
      <c r="G225" s="8">
        <v>2.4</v>
      </c>
      <c r="H225" s="8">
        <v>0</v>
      </c>
      <c r="I225" s="9" t="s">
        <v>17</v>
      </c>
      <c r="J225" s="9" t="s">
        <v>13</v>
      </c>
      <c r="K225" s="9"/>
      <c r="L225" s="9"/>
      <c r="M225" s="9"/>
    </row>
    <row r="226" spans="1:13" ht="30">
      <c r="A226" s="8"/>
      <c r="B226" s="8"/>
      <c r="C226" s="8"/>
      <c r="D226" s="8">
        <v>0.52</v>
      </c>
      <c r="E226" s="8">
        <v>0.6</v>
      </c>
      <c r="F226" s="8"/>
      <c r="G226" s="8">
        <v>3</v>
      </c>
      <c r="H226" s="8"/>
      <c r="I226" s="9" t="s">
        <v>117</v>
      </c>
      <c r="J226" s="9" t="s">
        <v>118</v>
      </c>
      <c r="K226" s="9"/>
      <c r="L226" s="9"/>
      <c r="M226" s="9"/>
    </row>
    <row r="227" spans="1:13" ht="30">
      <c r="A227" s="8">
        <f>B225</f>
        <v>3</v>
      </c>
      <c r="B227" s="8">
        <v>4</v>
      </c>
      <c r="C227" s="8">
        <f t="shared" ref="C227" si="56">B227-A227</f>
        <v>1</v>
      </c>
      <c r="D227" s="8">
        <v>0.55000000000000004</v>
      </c>
      <c r="E227" s="8">
        <v>1</v>
      </c>
      <c r="F227" s="8">
        <f>D227/E227*100</f>
        <v>55.000000000000007</v>
      </c>
      <c r="G227" s="8">
        <v>4</v>
      </c>
      <c r="H227" s="8">
        <v>0</v>
      </c>
      <c r="I227" s="9" t="s">
        <v>117</v>
      </c>
      <c r="J227" s="9" t="s">
        <v>118</v>
      </c>
      <c r="K227" s="9"/>
      <c r="L227" s="9"/>
      <c r="M227" s="9" t="s">
        <v>20</v>
      </c>
    </row>
    <row r="228" spans="1:13" ht="30">
      <c r="A228" s="8">
        <f t="shared" ref="A228" si="57">B227</f>
        <v>4</v>
      </c>
      <c r="B228" s="8">
        <v>7</v>
      </c>
      <c r="C228" s="8">
        <v>3</v>
      </c>
      <c r="D228" s="8">
        <v>0.3</v>
      </c>
      <c r="E228" s="8">
        <f>D228*3/1.7</f>
        <v>0.52941176470588236</v>
      </c>
      <c r="F228" s="8">
        <f>1.7/3*100</f>
        <v>56.666666666666664</v>
      </c>
      <c r="G228" s="8">
        <f>G227+E228</f>
        <v>4.5294117647058822</v>
      </c>
      <c r="H228" s="8">
        <v>4.666666666666667</v>
      </c>
      <c r="I228" s="9" t="s">
        <v>117</v>
      </c>
      <c r="J228" s="9" t="s">
        <v>118</v>
      </c>
      <c r="K228" s="9" t="s">
        <v>11</v>
      </c>
      <c r="L228" s="9"/>
      <c r="M228" s="9" t="s">
        <v>20</v>
      </c>
    </row>
    <row r="229" spans="1:13">
      <c r="A229" s="8"/>
      <c r="B229" s="8"/>
      <c r="C229" s="8"/>
      <c r="D229" s="8">
        <v>1.4</v>
      </c>
      <c r="E229" s="8">
        <f>D229*3/1.7</f>
        <v>2.4705882352941173</v>
      </c>
      <c r="F229" s="8"/>
      <c r="G229" s="8">
        <f>G228+E229</f>
        <v>7</v>
      </c>
      <c r="H229" s="8"/>
      <c r="I229" s="9" t="s">
        <v>119</v>
      </c>
      <c r="J229" s="9" t="s">
        <v>85</v>
      </c>
      <c r="K229" s="9"/>
      <c r="L229" s="9"/>
      <c r="M229" s="9" t="s">
        <v>95</v>
      </c>
    </row>
    <row r="230" spans="1:13">
      <c r="A230" s="8">
        <f>B228</f>
        <v>7</v>
      </c>
      <c r="B230" s="8">
        <v>10</v>
      </c>
      <c r="C230" s="8">
        <f t="shared" ref="C230" si="58">B230-A230</f>
        <v>3</v>
      </c>
      <c r="D230" s="8">
        <v>0.25</v>
      </c>
      <c r="E230" s="8">
        <f>D230*3/2.3</f>
        <v>0.32608695652173914</v>
      </c>
      <c r="F230" s="8">
        <f>2.3/3*100</f>
        <v>76.666666666666657</v>
      </c>
      <c r="G230" s="8">
        <f t="shared" ref="G230:G246" si="59">G229+E230</f>
        <v>7.3260869565217392</v>
      </c>
      <c r="H230" s="8">
        <v>0</v>
      </c>
      <c r="I230" s="9" t="s">
        <v>119</v>
      </c>
      <c r="J230" s="9" t="s">
        <v>85</v>
      </c>
      <c r="K230" s="9"/>
      <c r="L230" s="9"/>
      <c r="M230" s="9" t="s">
        <v>95</v>
      </c>
    </row>
    <row r="231" spans="1:13" ht="30">
      <c r="A231" s="8"/>
      <c r="B231" s="8"/>
      <c r="C231" s="8"/>
      <c r="D231" s="8">
        <v>0.65</v>
      </c>
      <c r="E231" s="8">
        <f t="shared" ref="E231:E233" si="60">D231*3/2.3</f>
        <v>0.84782608695652184</v>
      </c>
      <c r="F231" s="8"/>
      <c r="G231" s="8">
        <f t="shared" si="59"/>
        <v>8.1739130434782616</v>
      </c>
      <c r="H231" s="8"/>
      <c r="I231" s="9" t="s">
        <v>120</v>
      </c>
      <c r="J231" s="9" t="s">
        <v>26</v>
      </c>
      <c r="K231" s="9"/>
      <c r="L231" s="9"/>
      <c r="M231" s="9"/>
    </row>
    <row r="232" spans="1:13">
      <c r="A232" s="8"/>
      <c r="B232" s="8"/>
      <c r="C232" s="8"/>
      <c r="D232" s="8">
        <v>0.9</v>
      </c>
      <c r="E232" s="8">
        <f t="shared" si="60"/>
        <v>1.173913043478261</v>
      </c>
      <c r="F232" s="8"/>
      <c r="G232" s="8">
        <f t="shared" si="59"/>
        <v>9.3478260869565233</v>
      </c>
      <c r="H232" s="8"/>
      <c r="I232" s="9" t="s">
        <v>121</v>
      </c>
      <c r="J232" s="9" t="s">
        <v>70</v>
      </c>
      <c r="K232" s="9"/>
      <c r="L232" s="9"/>
      <c r="M232" s="9"/>
    </row>
    <row r="233" spans="1:13">
      <c r="A233" s="8"/>
      <c r="B233" s="8"/>
      <c r="C233" s="8"/>
      <c r="D233" s="8">
        <v>0.5</v>
      </c>
      <c r="E233" s="8">
        <f t="shared" si="60"/>
        <v>0.65217391304347827</v>
      </c>
      <c r="F233" s="8"/>
      <c r="G233" s="8">
        <f t="shared" si="59"/>
        <v>10.000000000000002</v>
      </c>
      <c r="H233" s="8"/>
      <c r="I233" s="9" t="s">
        <v>122</v>
      </c>
      <c r="J233" s="9" t="s">
        <v>26</v>
      </c>
      <c r="K233" s="9"/>
      <c r="L233" s="9"/>
      <c r="M233" s="9"/>
    </row>
    <row r="234" spans="1:13">
      <c r="A234" s="8">
        <f>B230</f>
        <v>10</v>
      </c>
      <c r="B234" s="8">
        <v>13</v>
      </c>
      <c r="C234" s="8">
        <f>B234-A234</f>
        <v>3</v>
      </c>
      <c r="D234" s="8">
        <v>1.3</v>
      </c>
      <c r="E234" s="8">
        <f>D234*3/2.2</f>
        <v>1.7727272727272727</v>
      </c>
      <c r="F234" s="8">
        <f>2.82/3*100</f>
        <v>94</v>
      </c>
      <c r="G234" s="8">
        <f t="shared" si="59"/>
        <v>11.772727272727275</v>
      </c>
      <c r="H234" s="8">
        <v>11</v>
      </c>
      <c r="I234" s="9" t="s">
        <v>123</v>
      </c>
      <c r="J234" s="9" t="s">
        <v>70</v>
      </c>
      <c r="K234" s="9"/>
      <c r="L234" s="9"/>
      <c r="M234" s="9"/>
    </row>
    <row r="235" spans="1:13">
      <c r="A235" s="8"/>
      <c r="B235" s="8"/>
      <c r="C235" s="8"/>
      <c r="D235" s="8">
        <v>0.9</v>
      </c>
      <c r="E235" s="8">
        <f>D235*3/2.2</f>
        <v>1.2272727272727273</v>
      </c>
      <c r="F235" s="8"/>
      <c r="G235" s="8">
        <f t="shared" si="59"/>
        <v>13.000000000000002</v>
      </c>
      <c r="H235" s="8"/>
      <c r="I235" s="9" t="s">
        <v>124</v>
      </c>
      <c r="J235" s="9" t="s">
        <v>125</v>
      </c>
      <c r="K235" s="9"/>
      <c r="L235" s="9"/>
      <c r="M235" s="9"/>
    </row>
    <row r="236" spans="1:13">
      <c r="A236" s="8">
        <f>B234</f>
        <v>13</v>
      </c>
      <c r="B236" s="8">
        <v>16</v>
      </c>
      <c r="C236" s="8">
        <f>B236-A236</f>
        <v>3</v>
      </c>
      <c r="D236" s="8">
        <v>1.8</v>
      </c>
      <c r="E236" s="8">
        <v>1.8</v>
      </c>
      <c r="F236" s="8">
        <v>100</v>
      </c>
      <c r="G236" s="8">
        <f t="shared" si="59"/>
        <v>14.800000000000002</v>
      </c>
      <c r="H236" s="8">
        <v>6.666666666666667</v>
      </c>
      <c r="I236" s="9" t="s">
        <v>124</v>
      </c>
      <c r="J236" s="9" t="s">
        <v>125</v>
      </c>
      <c r="K236" s="9" t="s">
        <v>126</v>
      </c>
      <c r="L236" s="9"/>
      <c r="M236" s="9"/>
    </row>
    <row r="237" spans="1:13">
      <c r="A237" s="8"/>
      <c r="B237" s="8"/>
      <c r="C237" s="8"/>
      <c r="D237" s="8">
        <v>1.2</v>
      </c>
      <c r="E237" s="8">
        <v>1.2</v>
      </c>
      <c r="F237" s="8"/>
      <c r="G237" s="8">
        <f t="shared" si="59"/>
        <v>16.000000000000004</v>
      </c>
      <c r="H237" s="8"/>
      <c r="I237" s="9" t="s">
        <v>127</v>
      </c>
      <c r="J237" s="9" t="s">
        <v>33</v>
      </c>
      <c r="K237" s="9"/>
      <c r="L237" s="9"/>
      <c r="M237" s="9"/>
    </row>
    <row r="238" spans="1:13" ht="30">
      <c r="A238" s="8">
        <f>B236</f>
        <v>16</v>
      </c>
      <c r="B238" s="8">
        <v>19</v>
      </c>
      <c r="C238" s="8">
        <f>B238-A238</f>
        <v>3</v>
      </c>
      <c r="D238" s="8">
        <v>3</v>
      </c>
      <c r="E238" s="8">
        <v>3</v>
      </c>
      <c r="F238" s="8">
        <v>100</v>
      </c>
      <c r="G238" s="8">
        <f t="shared" si="59"/>
        <v>19.000000000000004</v>
      </c>
      <c r="H238" s="8">
        <v>32</v>
      </c>
      <c r="I238" s="9" t="s">
        <v>82</v>
      </c>
      <c r="J238" s="9" t="s">
        <v>44</v>
      </c>
      <c r="K238" s="9" t="s">
        <v>130</v>
      </c>
      <c r="L238" s="9" t="s">
        <v>57</v>
      </c>
      <c r="M238" s="9"/>
    </row>
    <row r="239" spans="1:13" ht="30">
      <c r="A239" s="8">
        <f t="shared" ref="A239:A245" si="61">B238</f>
        <v>19</v>
      </c>
      <c r="B239" s="8">
        <v>22</v>
      </c>
      <c r="C239" s="8">
        <f t="shared" ref="C239" si="62">B239-A239</f>
        <v>3</v>
      </c>
      <c r="D239" s="8">
        <v>3</v>
      </c>
      <c r="E239" s="8">
        <v>3</v>
      </c>
      <c r="F239" s="8">
        <f>D239/3*100</f>
        <v>100</v>
      </c>
      <c r="G239" s="8">
        <f t="shared" si="59"/>
        <v>22.000000000000004</v>
      </c>
      <c r="H239" s="8">
        <v>27.999999999999996</v>
      </c>
      <c r="I239" s="9" t="s">
        <v>80</v>
      </c>
      <c r="J239" s="9" t="s">
        <v>44</v>
      </c>
      <c r="K239" s="9" t="s">
        <v>180</v>
      </c>
      <c r="L239" s="9" t="s">
        <v>57</v>
      </c>
      <c r="M239" s="9"/>
    </row>
    <row r="240" spans="1:13" ht="30">
      <c r="A240" s="8">
        <f t="shared" si="61"/>
        <v>22</v>
      </c>
      <c r="B240" s="8">
        <v>25</v>
      </c>
      <c r="C240" s="8">
        <v>3</v>
      </c>
      <c r="D240" s="8">
        <v>3</v>
      </c>
      <c r="E240" s="8">
        <v>3</v>
      </c>
      <c r="F240" s="8">
        <v>100</v>
      </c>
      <c r="G240" s="8">
        <f t="shared" si="59"/>
        <v>25.000000000000004</v>
      </c>
      <c r="H240" s="8">
        <v>44.666666666666671</v>
      </c>
      <c r="I240" s="9" t="s">
        <v>128</v>
      </c>
      <c r="J240" s="9" t="s">
        <v>44</v>
      </c>
      <c r="K240" s="9"/>
      <c r="L240" s="9" t="s">
        <v>57</v>
      </c>
      <c r="M240" s="9"/>
    </row>
    <row r="241" spans="1:13" ht="30">
      <c r="A241" s="8">
        <f t="shared" si="61"/>
        <v>25</v>
      </c>
      <c r="B241" s="8">
        <v>28</v>
      </c>
      <c r="C241" s="8">
        <v>3</v>
      </c>
      <c r="D241" s="8">
        <v>3</v>
      </c>
      <c r="E241" s="8">
        <v>3</v>
      </c>
      <c r="F241" s="8">
        <v>100</v>
      </c>
      <c r="G241" s="8">
        <f t="shared" si="59"/>
        <v>28.000000000000004</v>
      </c>
      <c r="H241" s="8">
        <v>84.333333333333329</v>
      </c>
      <c r="I241" s="9" t="s">
        <v>129</v>
      </c>
      <c r="J241" s="9" t="s">
        <v>44</v>
      </c>
      <c r="K241" s="9" t="s">
        <v>181</v>
      </c>
      <c r="L241" s="9" t="s">
        <v>57</v>
      </c>
      <c r="M241" s="9"/>
    </row>
    <row r="242" spans="1:13" ht="30">
      <c r="A242" s="8">
        <f t="shared" si="61"/>
        <v>28</v>
      </c>
      <c r="B242" s="8">
        <v>31</v>
      </c>
      <c r="C242" s="8">
        <f t="shared" ref="C242" si="63">B242-A242</f>
        <v>3</v>
      </c>
      <c r="D242" s="8">
        <v>3</v>
      </c>
      <c r="E242" s="8">
        <v>3</v>
      </c>
      <c r="F242" s="8">
        <v>100</v>
      </c>
      <c r="G242" s="8">
        <f t="shared" si="59"/>
        <v>31.000000000000004</v>
      </c>
      <c r="H242" s="8">
        <v>61.666666666666671</v>
      </c>
      <c r="I242" s="9" t="s">
        <v>131</v>
      </c>
      <c r="J242" s="9" t="s">
        <v>44</v>
      </c>
      <c r="K242" s="9"/>
      <c r="L242" s="9" t="s">
        <v>57</v>
      </c>
      <c r="M242" s="9"/>
    </row>
    <row r="243" spans="1:13" ht="30">
      <c r="A243" s="8">
        <f t="shared" si="61"/>
        <v>31</v>
      </c>
      <c r="B243" s="8">
        <v>34</v>
      </c>
      <c r="C243" s="8">
        <v>3</v>
      </c>
      <c r="D243" s="8">
        <v>3</v>
      </c>
      <c r="E243" s="8">
        <v>3</v>
      </c>
      <c r="F243" s="8">
        <v>100</v>
      </c>
      <c r="G243" s="8">
        <f t="shared" si="59"/>
        <v>34</v>
      </c>
      <c r="H243" s="8">
        <v>35.666666666666671</v>
      </c>
      <c r="I243" s="9" t="s">
        <v>128</v>
      </c>
      <c r="J243" s="9" t="s">
        <v>44</v>
      </c>
      <c r="K243" s="9" t="s">
        <v>182</v>
      </c>
      <c r="L243" s="9" t="s">
        <v>57</v>
      </c>
      <c r="M243" s="9"/>
    </row>
    <row r="244" spans="1:13" ht="30">
      <c r="A244" s="8">
        <f t="shared" si="61"/>
        <v>34</v>
      </c>
      <c r="B244" s="8">
        <v>37</v>
      </c>
      <c r="C244" s="8">
        <v>3</v>
      </c>
      <c r="D244" s="8">
        <v>2.8</v>
      </c>
      <c r="E244" s="8">
        <v>3</v>
      </c>
      <c r="F244" s="8">
        <f>2.8/3*100</f>
        <v>93.333333333333329</v>
      </c>
      <c r="G244" s="8">
        <f t="shared" si="59"/>
        <v>37</v>
      </c>
      <c r="H244" s="8">
        <v>50.666666666666671</v>
      </c>
      <c r="I244" s="9" t="s">
        <v>128</v>
      </c>
      <c r="J244" s="9" t="s">
        <v>44</v>
      </c>
      <c r="K244" s="9" t="s">
        <v>183</v>
      </c>
      <c r="L244" s="9" t="s">
        <v>57</v>
      </c>
      <c r="M244" s="9"/>
    </row>
    <row r="245" spans="1:13" ht="30">
      <c r="A245" s="8">
        <f t="shared" si="61"/>
        <v>37</v>
      </c>
      <c r="B245" s="8">
        <v>40</v>
      </c>
      <c r="C245" s="8">
        <v>3</v>
      </c>
      <c r="D245" s="8">
        <v>1</v>
      </c>
      <c r="E245" s="8">
        <v>1</v>
      </c>
      <c r="F245" s="8">
        <v>100</v>
      </c>
      <c r="G245" s="8">
        <f t="shared" si="59"/>
        <v>38</v>
      </c>
      <c r="H245" s="8">
        <v>23.333333333333332</v>
      </c>
      <c r="I245" s="9" t="s">
        <v>132</v>
      </c>
      <c r="J245" s="9" t="s">
        <v>44</v>
      </c>
      <c r="K245" s="9" t="s">
        <v>184</v>
      </c>
      <c r="L245" s="9" t="s">
        <v>57</v>
      </c>
      <c r="M245" s="9"/>
    </row>
    <row r="246" spans="1:13">
      <c r="A246" s="8"/>
      <c r="B246" s="8"/>
      <c r="C246" s="8"/>
      <c r="D246" s="8">
        <v>2</v>
      </c>
      <c r="E246" s="8">
        <v>2</v>
      </c>
      <c r="F246" s="8"/>
      <c r="G246" s="8">
        <f t="shared" si="59"/>
        <v>40</v>
      </c>
      <c r="H246" s="8"/>
      <c r="I246" s="9" t="s">
        <v>63</v>
      </c>
      <c r="J246" s="9" t="s">
        <v>26</v>
      </c>
      <c r="K246" s="9"/>
      <c r="L246" s="9"/>
      <c r="M246" s="9"/>
    </row>
    <row r="248" spans="1:13" ht="23.25" customHeight="1">
      <c r="A248" s="20" t="s">
        <v>191</v>
      </c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</row>
    <row r="249" spans="1:13" s="4" customFormat="1">
      <c r="A249" s="4" t="s">
        <v>188</v>
      </c>
      <c r="B249" s="4" t="s">
        <v>175</v>
      </c>
      <c r="E249" s="5"/>
      <c r="I249" s="5"/>
      <c r="L249" s="4" t="s">
        <v>147</v>
      </c>
      <c r="M249" s="4" t="s">
        <v>174</v>
      </c>
    </row>
    <row r="250" spans="1:13" s="4" customFormat="1">
      <c r="A250" s="4" t="s">
        <v>189</v>
      </c>
      <c r="B250" s="4">
        <v>477079.03499999997</v>
      </c>
      <c r="L250" s="4" t="s">
        <v>148</v>
      </c>
      <c r="M250" s="4" t="s">
        <v>177</v>
      </c>
    </row>
    <row r="251" spans="1:13" s="4" customFormat="1">
      <c r="A251" s="4" t="s">
        <v>149</v>
      </c>
      <c r="B251" s="4" t="s">
        <v>176</v>
      </c>
      <c r="E251" s="5"/>
      <c r="F251" s="5"/>
      <c r="G251" s="5"/>
      <c r="H251" s="5"/>
      <c r="I251" s="5"/>
      <c r="L251" s="4" t="s">
        <v>150</v>
      </c>
      <c r="M251" s="6">
        <v>37</v>
      </c>
    </row>
    <row r="252" spans="1:13" ht="14.45" customHeight="1"/>
    <row r="253" spans="1:13" ht="15" customHeight="1">
      <c r="A253" s="18" t="s">
        <v>0</v>
      </c>
      <c r="B253" s="18"/>
      <c r="C253" s="18"/>
      <c r="D253" s="19" t="s">
        <v>200</v>
      </c>
      <c r="E253" s="19" t="s">
        <v>201</v>
      </c>
      <c r="F253" s="19" t="s">
        <v>199</v>
      </c>
      <c r="G253" s="19" t="s">
        <v>1</v>
      </c>
      <c r="H253" s="19" t="s">
        <v>2</v>
      </c>
      <c r="I253" s="17" t="s">
        <v>3</v>
      </c>
      <c r="J253" s="17" t="s">
        <v>4</v>
      </c>
      <c r="K253" s="17" t="s">
        <v>5</v>
      </c>
      <c r="L253" s="17" t="s">
        <v>6</v>
      </c>
      <c r="M253" s="17" t="s">
        <v>7</v>
      </c>
    </row>
    <row r="254" spans="1:13" ht="42" customHeight="1">
      <c r="A254" s="7" t="s">
        <v>8</v>
      </c>
      <c r="B254" s="7" t="s">
        <v>9</v>
      </c>
      <c r="C254" s="11" t="s">
        <v>190</v>
      </c>
      <c r="D254" s="19"/>
      <c r="E254" s="19"/>
      <c r="F254" s="19"/>
      <c r="G254" s="19"/>
      <c r="H254" s="19"/>
      <c r="I254" s="17"/>
      <c r="J254" s="17"/>
      <c r="K254" s="17"/>
      <c r="L254" s="17"/>
      <c r="M254" s="17"/>
    </row>
    <row r="255" spans="1:13">
      <c r="A255" s="8">
        <v>0</v>
      </c>
      <c r="B255" s="8">
        <v>3</v>
      </c>
      <c r="C255" s="8">
        <v>0.5</v>
      </c>
      <c r="D255" s="8" t="s">
        <v>10</v>
      </c>
      <c r="E255" s="8">
        <v>1</v>
      </c>
      <c r="F255" s="8">
        <f>D256/3*100</f>
        <v>50</v>
      </c>
      <c r="G255" s="8">
        <v>1</v>
      </c>
      <c r="H255" s="8">
        <v>0</v>
      </c>
      <c r="I255" s="9" t="s">
        <v>133</v>
      </c>
      <c r="J255" s="9" t="s">
        <v>13</v>
      </c>
      <c r="K255" s="9"/>
      <c r="L255" s="9"/>
      <c r="M255" s="9"/>
    </row>
    <row r="256" spans="1:13" ht="30">
      <c r="A256" s="8"/>
      <c r="B256" s="8"/>
      <c r="C256" s="8"/>
      <c r="D256" s="8">
        <v>1.5</v>
      </c>
      <c r="E256" s="8">
        <v>2</v>
      </c>
      <c r="F256" s="8"/>
      <c r="G256" s="8">
        <v>3</v>
      </c>
      <c r="H256" s="8"/>
      <c r="I256" s="9" t="s">
        <v>134</v>
      </c>
      <c r="J256" s="9" t="s">
        <v>118</v>
      </c>
      <c r="K256" s="9"/>
      <c r="L256" s="9"/>
      <c r="M256" s="9" t="s">
        <v>95</v>
      </c>
    </row>
    <row r="257" spans="1:13">
      <c r="A257" s="8">
        <f>B255</f>
        <v>3</v>
      </c>
      <c r="B257" s="8">
        <v>4</v>
      </c>
      <c r="C257" s="8">
        <f t="shared" ref="C257" si="64">B257-A257</f>
        <v>1</v>
      </c>
      <c r="D257" s="8">
        <v>0.3</v>
      </c>
      <c r="E257" s="8">
        <v>1</v>
      </c>
      <c r="F257" s="8">
        <f>D257/E257*100</f>
        <v>30</v>
      </c>
      <c r="G257" s="8">
        <v>4</v>
      </c>
      <c r="H257" s="8">
        <v>0</v>
      </c>
      <c r="I257" s="9" t="s">
        <v>107</v>
      </c>
      <c r="J257" s="9" t="s">
        <v>135</v>
      </c>
      <c r="K257" s="9"/>
      <c r="L257" s="9"/>
      <c r="M257" s="9" t="s">
        <v>20</v>
      </c>
    </row>
    <row r="258" spans="1:13">
      <c r="A258" s="8">
        <f t="shared" ref="A258" si="65">B257</f>
        <v>4</v>
      </c>
      <c r="B258" s="8">
        <v>7</v>
      </c>
      <c r="C258" s="8">
        <v>3</v>
      </c>
      <c r="D258" s="8">
        <v>0.63</v>
      </c>
      <c r="E258" s="8">
        <f>D258*3/1.73</f>
        <v>1.0924855491329482</v>
      </c>
      <c r="F258" s="8">
        <f>1.73/3*100</f>
        <v>57.666666666666664</v>
      </c>
      <c r="G258" s="8">
        <f>G257+E258</f>
        <v>5.0924855491329479</v>
      </c>
      <c r="H258" s="8">
        <v>0</v>
      </c>
      <c r="I258" s="9" t="s">
        <v>136</v>
      </c>
      <c r="J258" s="9" t="s">
        <v>118</v>
      </c>
      <c r="K258" s="9" t="s">
        <v>11</v>
      </c>
      <c r="L258" s="9"/>
      <c r="M258" s="9" t="s">
        <v>79</v>
      </c>
    </row>
    <row r="259" spans="1:13" ht="15.75" customHeight="1">
      <c r="A259" s="8"/>
      <c r="B259" s="8"/>
      <c r="C259" s="8"/>
      <c r="D259" s="8">
        <v>1.1000000000000001</v>
      </c>
      <c r="E259" s="8">
        <f>D259*3/1.73</f>
        <v>1.9075144508670523</v>
      </c>
      <c r="F259" s="8"/>
      <c r="G259" s="8">
        <f>G258+E259</f>
        <v>7</v>
      </c>
      <c r="H259" s="8"/>
      <c r="I259" s="9" t="s">
        <v>145</v>
      </c>
      <c r="J259" s="9" t="s">
        <v>85</v>
      </c>
      <c r="K259" s="9"/>
      <c r="L259" s="9"/>
      <c r="M259" s="12" t="s">
        <v>95</v>
      </c>
    </row>
    <row r="260" spans="1:13" ht="33.75" customHeight="1">
      <c r="A260" s="8">
        <f>B258</f>
        <v>7</v>
      </c>
      <c r="B260" s="8">
        <v>10</v>
      </c>
      <c r="C260" s="8">
        <f t="shared" ref="C260" si="66">B260-A260</f>
        <v>3</v>
      </c>
      <c r="D260" s="8">
        <v>1.35</v>
      </c>
      <c r="E260" s="8">
        <v>3</v>
      </c>
      <c r="F260" s="8">
        <f>1.35/3*100</f>
        <v>45</v>
      </c>
      <c r="G260" s="8">
        <f t="shared" ref="G260:G271" si="67">G259+E260</f>
        <v>10</v>
      </c>
      <c r="H260" s="8">
        <v>4</v>
      </c>
      <c r="I260" s="9" t="s">
        <v>145</v>
      </c>
      <c r="J260" s="9" t="s">
        <v>85</v>
      </c>
      <c r="K260" s="9" t="s">
        <v>185</v>
      </c>
      <c r="L260" s="9"/>
      <c r="M260" s="9" t="s">
        <v>138</v>
      </c>
    </row>
    <row r="261" spans="1:13" ht="30">
      <c r="A261" s="8">
        <f>B260</f>
        <v>10</v>
      </c>
      <c r="B261" s="8">
        <v>13</v>
      </c>
      <c r="C261" s="8">
        <f>B261-A261</f>
        <v>3</v>
      </c>
      <c r="D261" s="8">
        <v>0.8</v>
      </c>
      <c r="E261" s="8">
        <v>0.9</v>
      </c>
      <c r="F261" s="8">
        <f>0.8/0.9*100</f>
        <v>88.8888888888889</v>
      </c>
      <c r="G261" s="8">
        <f t="shared" si="67"/>
        <v>10.9</v>
      </c>
      <c r="H261" s="10">
        <v>8.6666666666666679</v>
      </c>
      <c r="I261" s="9" t="s">
        <v>146</v>
      </c>
      <c r="J261" s="9" t="s">
        <v>70</v>
      </c>
      <c r="K261" s="9"/>
      <c r="L261" s="9"/>
      <c r="M261" s="9"/>
    </row>
    <row r="262" spans="1:13">
      <c r="A262" s="8"/>
      <c r="B262" s="8"/>
      <c r="C262" s="8"/>
      <c r="D262" s="8">
        <v>1</v>
      </c>
      <c r="E262" s="8">
        <v>1.1000000000000001</v>
      </c>
      <c r="F262" s="8">
        <f>1/1.1*100</f>
        <v>90.909090909090907</v>
      </c>
      <c r="G262" s="8">
        <f t="shared" si="67"/>
        <v>12</v>
      </c>
      <c r="H262" s="8"/>
      <c r="I262" s="9" t="s">
        <v>137</v>
      </c>
      <c r="J262" s="9" t="s">
        <v>33</v>
      </c>
      <c r="K262" s="9"/>
      <c r="L262" s="9"/>
      <c r="M262" s="9"/>
    </row>
    <row r="263" spans="1:13" ht="30">
      <c r="A263" s="8"/>
      <c r="B263" s="8"/>
      <c r="C263" s="8"/>
      <c r="D263" s="8">
        <v>1</v>
      </c>
      <c r="E263" s="8">
        <v>1</v>
      </c>
      <c r="F263" s="8">
        <v>100</v>
      </c>
      <c r="G263" s="8">
        <f t="shared" si="67"/>
        <v>13</v>
      </c>
      <c r="H263" s="8"/>
      <c r="I263" s="9" t="s">
        <v>139</v>
      </c>
      <c r="J263" s="9" t="s">
        <v>39</v>
      </c>
      <c r="K263" s="9" t="s">
        <v>186</v>
      </c>
      <c r="L263" s="9" t="s">
        <v>57</v>
      </c>
      <c r="M263" s="9"/>
    </row>
    <row r="264" spans="1:13" ht="30">
      <c r="A264" s="8">
        <f>B261</f>
        <v>13</v>
      </c>
      <c r="B264" s="8">
        <v>16</v>
      </c>
      <c r="C264" s="8">
        <f>B264-A264</f>
        <v>3</v>
      </c>
      <c r="D264" s="8">
        <v>3</v>
      </c>
      <c r="E264" s="8">
        <v>3</v>
      </c>
      <c r="F264" s="8">
        <v>100</v>
      </c>
      <c r="G264" s="8">
        <f t="shared" si="67"/>
        <v>16</v>
      </c>
      <c r="H264" s="8">
        <v>26</v>
      </c>
      <c r="I264" s="9" t="s">
        <v>139</v>
      </c>
      <c r="J264" s="9" t="s">
        <v>39</v>
      </c>
      <c r="K264" s="9"/>
      <c r="L264" s="9"/>
      <c r="M264" s="9"/>
    </row>
    <row r="265" spans="1:13" ht="30">
      <c r="A265" s="8">
        <f t="shared" ref="A265:A271" si="68">B264</f>
        <v>16</v>
      </c>
      <c r="B265" s="8">
        <v>19</v>
      </c>
      <c r="C265" s="8">
        <f>B265-A265</f>
        <v>3</v>
      </c>
      <c r="D265" s="8">
        <v>3</v>
      </c>
      <c r="E265" s="8">
        <v>3</v>
      </c>
      <c r="F265" s="8">
        <v>100</v>
      </c>
      <c r="G265" s="8">
        <f t="shared" si="67"/>
        <v>19</v>
      </c>
      <c r="H265" s="8">
        <v>15.666666666666664</v>
      </c>
      <c r="I265" s="9" t="s">
        <v>140</v>
      </c>
      <c r="J265" s="9" t="s">
        <v>39</v>
      </c>
      <c r="K265" s="9" t="s">
        <v>130</v>
      </c>
      <c r="L265" s="9" t="s">
        <v>57</v>
      </c>
      <c r="M265" s="9"/>
    </row>
    <row r="266" spans="1:13" ht="30">
      <c r="A266" s="8">
        <f t="shared" si="68"/>
        <v>19</v>
      </c>
      <c r="B266" s="8">
        <v>22</v>
      </c>
      <c r="C266" s="8">
        <f t="shared" ref="C266" si="69">B266-A266</f>
        <v>3</v>
      </c>
      <c r="D266" s="8">
        <v>2.7</v>
      </c>
      <c r="E266" s="8">
        <v>3</v>
      </c>
      <c r="F266" s="8">
        <f>D266/3*100</f>
        <v>90</v>
      </c>
      <c r="G266" s="8">
        <f t="shared" si="67"/>
        <v>22</v>
      </c>
      <c r="H266" s="8">
        <v>8.3333333333333321</v>
      </c>
      <c r="I266" s="9" t="s">
        <v>139</v>
      </c>
      <c r="J266" s="9" t="s">
        <v>39</v>
      </c>
      <c r="K266" s="9" t="s">
        <v>130</v>
      </c>
      <c r="L266" s="9" t="s">
        <v>57</v>
      </c>
      <c r="M266" s="9"/>
    </row>
    <row r="267" spans="1:13" ht="45">
      <c r="A267" s="8">
        <f t="shared" si="68"/>
        <v>22</v>
      </c>
      <c r="B267" s="8">
        <v>25</v>
      </c>
      <c r="C267" s="8">
        <v>3</v>
      </c>
      <c r="D267" s="8">
        <v>3</v>
      </c>
      <c r="E267" s="8">
        <v>3</v>
      </c>
      <c r="F267" s="8">
        <v>100</v>
      </c>
      <c r="G267" s="8">
        <f t="shared" si="67"/>
        <v>25</v>
      </c>
      <c r="H267" s="8">
        <v>30.666666666666671</v>
      </c>
      <c r="I267" s="9" t="s">
        <v>82</v>
      </c>
      <c r="J267" s="9" t="s">
        <v>44</v>
      </c>
      <c r="K267" s="9" t="s">
        <v>187</v>
      </c>
      <c r="L267" s="9" t="s">
        <v>57</v>
      </c>
      <c r="M267" s="9"/>
    </row>
    <row r="268" spans="1:13" ht="30">
      <c r="A268" s="8">
        <f t="shared" si="68"/>
        <v>25</v>
      </c>
      <c r="B268" s="8">
        <v>28</v>
      </c>
      <c r="C268" s="8">
        <v>3</v>
      </c>
      <c r="D268" s="8">
        <v>3</v>
      </c>
      <c r="E268" s="8">
        <v>3</v>
      </c>
      <c r="F268" s="8">
        <v>100</v>
      </c>
      <c r="G268" s="8">
        <f t="shared" si="67"/>
        <v>28</v>
      </c>
      <c r="H268" s="8">
        <v>78.333333333333329</v>
      </c>
      <c r="I268" s="9" t="s">
        <v>82</v>
      </c>
      <c r="J268" s="9" t="s">
        <v>44</v>
      </c>
      <c r="K268" s="9" t="s">
        <v>181</v>
      </c>
      <c r="L268" s="9" t="s">
        <v>57</v>
      </c>
      <c r="M268" s="9"/>
    </row>
    <row r="269" spans="1:13" ht="30">
      <c r="A269" s="8">
        <f t="shared" si="68"/>
        <v>28</v>
      </c>
      <c r="B269" s="8">
        <v>31</v>
      </c>
      <c r="C269" s="8">
        <f t="shared" ref="C269" si="70">B269-A269</f>
        <v>3</v>
      </c>
      <c r="D269" s="8">
        <v>3</v>
      </c>
      <c r="E269" s="8">
        <v>3</v>
      </c>
      <c r="F269" s="8">
        <v>100</v>
      </c>
      <c r="G269" s="8">
        <f t="shared" si="67"/>
        <v>31</v>
      </c>
      <c r="H269" s="8">
        <v>70</v>
      </c>
      <c r="I269" s="9" t="s">
        <v>141</v>
      </c>
      <c r="J269" s="9" t="s">
        <v>44</v>
      </c>
      <c r="K269" s="9"/>
      <c r="L269" s="9" t="s">
        <v>57</v>
      </c>
      <c r="M269" s="9"/>
    </row>
    <row r="270" spans="1:13" ht="30">
      <c r="A270" s="8">
        <f t="shared" si="68"/>
        <v>31</v>
      </c>
      <c r="B270" s="8">
        <v>34</v>
      </c>
      <c r="C270" s="8">
        <v>3</v>
      </c>
      <c r="D270" s="8">
        <v>3</v>
      </c>
      <c r="E270" s="8">
        <v>3</v>
      </c>
      <c r="F270" s="8">
        <v>100</v>
      </c>
      <c r="G270" s="8">
        <f t="shared" si="67"/>
        <v>34</v>
      </c>
      <c r="H270" s="8">
        <v>35.333333333333336</v>
      </c>
      <c r="I270" s="9" t="s">
        <v>129</v>
      </c>
      <c r="J270" s="9" t="s">
        <v>35</v>
      </c>
      <c r="K270" s="9" t="s">
        <v>15</v>
      </c>
      <c r="L270" s="9" t="s">
        <v>57</v>
      </c>
      <c r="M270" s="9"/>
    </row>
    <row r="271" spans="1:13">
      <c r="A271" s="8">
        <f t="shared" si="68"/>
        <v>34</v>
      </c>
      <c r="B271" s="8">
        <v>37</v>
      </c>
      <c r="C271" s="8">
        <v>3</v>
      </c>
      <c r="D271" s="8">
        <v>1.6</v>
      </c>
      <c r="E271" s="8">
        <v>3</v>
      </c>
      <c r="F271" s="8">
        <f>1.6/3*100</f>
        <v>53.333333333333336</v>
      </c>
      <c r="G271" s="8">
        <f t="shared" si="67"/>
        <v>37</v>
      </c>
      <c r="H271" s="2">
        <v>0</v>
      </c>
      <c r="I271" s="9" t="s">
        <v>142</v>
      </c>
      <c r="J271" s="9" t="s">
        <v>26</v>
      </c>
      <c r="K271" s="9"/>
      <c r="L271" s="9" t="s">
        <v>57</v>
      </c>
      <c r="M271" s="9"/>
    </row>
  </sheetData>
  <mergeCells count="120">
    <mergeCell ref="E113:E114"/>
    <mergeCell ref="F113:F114"/>
    <mergeCell ref="A113:C113"/>
    <mergeCell ref="D113:D114"/>
    <mergeCell ref="A1:M1"/>
    <mergeCell ref="A2:M2"/>
    <mergeCell ref="A7:C7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G39:G40"/>
    <mergeCell ref="H39:H40"/>
    <mergeCell ref="M113:M114"/>
    <mergeCell ref="H113:H114"/>
    <mergeCell ref="I113:I114"/>
    <mergeCell ref="J113:J114"/>
    <mergeCell ref="K113:K114"/>
    <mergeCell ref="L113:L114"/>
    <mergeCell ref="G113:G114"/>
    <mergeCell ref="A34:M34"/>
    <mergeCell ref="A39:C39"/>
    <mergeCell ref="D39:D40"/>
    <mergeCell ref="E39:E40"/>
    <mergeCell ref="F39:F40"/>
    <mergeCell ref="M71:M72"/>
    <mergeCell ref="K70:M70"/>
    <mergeCell ref="A66:M66"/>
    <mergeCell ref="A71:C71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I39:I40"/>
    <mergeCell ref="J39:J40"/>
    <mergeCell ref="K39:K40"/>
    <mergeCell ref="L39:L40"/>
    <mergeCell ref="M39:M40"/>
    <mergeCell ref="M147:M148"/>
    <mergeCell ref="H147:H148"/>
    <mergeCell ref="I147:I148"/>
    <mergeCell ref="J147:J148"/>
    <mergeCell ref="A182:C182"/>
    <mergeCell ref="D182:D183"/>
    <mergeCell ref="E182:E183"/>
    <mergeCell ref="F182:F183"/>
    <mergeCell ref="G182:G183"/>
    <mergeCell ref="H182:H183"/>
    <mergeCell ref="I182:I183"/>
    <mergeCell ref="J182:J183"/>
    <mergeCell ref="K182:K183"/>
    <mergeCell ref="A177:M177"/>
    <mergeCell ref="K147:K148"/>
    <mergeCell ref="L147:L148"/>
    <mergeCell ref="A147:C147"/>
    <mergeCell ref="D147:D148"/>
    <mergeCell ref="E147:E148"/>
    <mergeCell ref="F147:F148"/>
    <mergeCell ref="G147:G148"/>
    <mergeCell ref="A142:M142"/>
    <mergeCell ref="A108:M108"/>
    <mergeCell ref="K210:K211"/>
    <mergeCell ref="L210:L211"/>
    <mergeCell ref="M210:M211"/>
    <mergeCell ref="L223:L224"/>
    <mergeCell ref="M223:M224"/>
    <mergeCell ref="A223:C223"/>
    <mergeCell ref="D223:D224"/>
    <mergeCell ref="E223:E224"/>
    <mergeCell ref="F223:F224"/>
    <mergeCell ref="G223:G224"/>
    <mergeCell ref="H223:H224"/>
    <mergeCell ref="I223:I224"/>
    <mergeCell ref="A248:M248"/>
    <mergeCell ref="A253:C253"/>
    <mergeCell ref="D253:D254"/>
    <mergeCell ref="E253:E254"/>
    <mergeCell ref="F253:F254"/>
    <mergeCell ref="G253:G254"/>
    <mergeCell ref="H253:H254"/>
    <mergeCell ref="I253:I254"/>
    <mergeCell ref="J253:J254"/>
    <mergeCell ref="K253:K254"/>
    <mergeCell ref="L253:L254"/>
    <mergeCell ref="M253:M254"/>
    <mergeCell ref="J223:J224"/>
    <mergeCell ref="L100:L101"/>
    <mergeCell ref="M100:M101"/>
    <mergeCell ref="A100:C100"/>
    <mergeCell ref="D100:D101"/>
    <mergeCell ref="E100:E101"/>
    <mergeCell ref="F100:F101"/>
    <mergeCell ref="G100:G101"/>
    <mergeCell ref="H100:H101"/>
    <mergeCell ref="I100:I101"/>
    <mergeCell ref="J100:J101"/>
    <mergeCell ref="K100:K101"/>
    <mergeCell ref="K223:K224"/>
    <mergeCell ref="L182:L183"/>
    <mergeCell ref="M182:M183"/>
    <mergeCell ref="A218:M218"/>
    <mergeCell ref="A210:C210"/>
    <mergeCell ref="D210:D211"/>
    <mergeCell ref="E210:E211"/>
    <mergeCell ref="F210:F211"/>
    <mergeCell ref="G210:G211"/>
    <mergeCell ref="H210:H211"/>
    <mergeCell ref="I210:I211"/>
    <mergeCell ref="J210:J211"/>
  </mergeCells>
  <printOptions horizontalCentered="1"/>
  <pageMargins left="0.56999999999999995" right="0.44" top="1.21" bottom="0.55118110236220474" header="0.70866141732283472" footer="0.31496062992125984"/>
  <pageSetup paperSize="9" scale="58" orientation="landscape" r:id="rId1"/>
  <headerFooter>
    <oddHeader>&amp;R&amp;G
ANNEXURE-III-B/&amp;P</oddHeader>
  </headerFooter>
  <rowBreaks count="9" manualBreakCount="9">
    <brk id="33" max="12" man="1"/>
    <brk id="65" max="12" man="1"/>
    <brk id="99" max="12" man="1"/>
    <brk id="107" max="16383" man="1"/>
    <brk id="141" max="12" man="1"/>
    <brk id="176" max="16383" man="1"/>
    <brk id="209" max="12" man="1"/>
    <brk id="217" max="16383" man="1"/>
    <brk id="24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1" sqref="D11"/>
    </sheetView>
  </sheetViews>
  <sheetFormatPr defaultRowHeight="15"/>
  <cols>
    <col min="1" max="2" width="13.85546875" customWidth="1"/>
    <col min="3" max="3" width="14.42578125" customWidth="1"/>
    <col min="4" max="4" width="18.140625" customWidth="1"/>
    <col min="5" max="5" width="24.42578125" bestFit="1" customWidth="1"/>
  </cols>
  <sheetData>
    <row r="1" ht="42.6" customHeight="1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2025-10-10T08:45:00Z</cp:lastPrinted>
  <dcterms:created xsi:type="dcterms:W3CDTF">2025-07-24T18:21:23Z</dcterms:created>
  <dcterms:modified xsi:type="dcterms:W3CDTF">2025-10-10T08:45:04Z</dcterms:modified>
</cp:coreProperties>
</file>